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435" activeTab="0"/>
  </bookViews>
  <sheets>
    <sheet name="2СП" sheetId="1" r:id="rId1"/>
  </sheets>
  <definedNames>
    <definedName name="_xlnm.Print_Area" localSheetId="0">'2СП'!$A$1:$H$202</definedName>
  </definedNames>
  <calcPr fullCalcOnLoad="1"/>
</workbook>
</file>

<file path=xl/comments1.xml><?xml version="1.0" encoding="utf-8"?>
<comments xmlns="http://schemas.openxmlformats.org/spreadsheetml/2006/main">
  <authors>
    <author>Иллиев</author>
    <author>Kovalenko</author>
  </authors>
  <commentList>
    <comment ref="B7" authorId="0">
      <text>
        <r>
          <rPr>
            <b/>
            <sz val="8"/>
            <rFont val="Tahoma"/>
            <family val="2"/>
          </rPr>
          <t xml:space="preserve">ВНИМАНИЕ!
</t>
        </r>
        <r>
          <rPr>
            <sz val="8"/>
            <rFont val="Tahoma"/>
            <family val="2"/>
          </rPr>
          <t>Наименование организации вводить, начиная с территориального признака, например, Первомайская районная… и т. д.</t>
        </r>
      </text>
    </comment>
    <comment ref="B200" authorId="1">
      <text>
        <r>
          <rPr>
            <sz val="9"/>
            <rFont val="Tahoma"/>
            <family val="2"/>
          </rPr>
          <t>Фамилия, И.О. председателя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<sst xmlns="http://schemas.openxmlformats.org/spreadsheetml/2006/main" count="334" uniqueCount="225">
  <si>
    <t>I.</t>
  </si>
  <si>
    <t>1.1.</t>
  </si>
  <si>
    <t xml:space="preserve">  (всего) </t>
  </si>
  <si>
    <t>1.1.1.</t>
  </si>
  <si>
    <t>1.1.2.</t>
  </si>
  <si>
    <t xml:space="preserve">1.1.3. </t>
  </si>
  <si>
    <t>1.2.</t>
  </si>
  <si>
    <t xml:space="preserve">1.2.5. </t>
  </si>
  <si>
    <t xml:space="preserve">II. </t>
  </si>
  <si>
    <t xml:space="preserve">ПЕРВИЧНЫЕ ПРОФСОЮЗНЫЕ ОРГАНИЗАЦИИ </t>
  </si>
  <si>
    <t>2.1.1. </t>
  </si>
  <si>
    <t xml:space="preserve">2.1.4. </t>
  </si>
  <si>
    <t xml:space="preserve">2.1.5. </t>
  </si>
  <si>
    <t>в т.ч.:</t>
  </si>
  <si>
    <t xml:space="preserve">2.1.6. </t>
  </si>
  <si>
    <t xml:space="preserve">2.1.7. </t>
  </si>
  <si>
    <t>2.2.</t>
  </si>
  <si>
    <t>из них:</t>
  </si>
  <si>
    <t xml:space="preserve">2.2.1. </t>
  </si>
  <si>
    <t xml:space="preserve">IV. </t>
  </si>
  <si>
    <t xml:space="preserve">ПРОФСОЮЗНЫЙ  АКТИВ  </t>
  </si>
  <si>
    <t xml:space="preserve">V. </t>
  </si>
  <si>
    <t>в т. ч.:</t>
  </si>
  <si>
    <t>ОБУЧЕНИЕ ПРОФСОЮЗНЫХ КАДРОВ И АКТИВА</t>
  </si>
  <si>
    <t>Председатель</t>
  </si>
  <si>
    <t>Х</t>
  </si>
  <si>
    <t>2.2.2.</t>
  </si>
  <si>
    <t xml:space="preserve">работающие,   </t>
  </si>
  <si>
    <t>2.2.3.</t>
  </si>
  <si>
    <t xml:space="preserve">неработающие пенсионеры  </t>
  </si>
  <si>
    <t>(всего)</t>
  </si>
  <si>
    <t>Общее количество созданных первичных профсоюзных организаций</t>
  </si>
  <si>
    <t>ОБЩИЙ ОХВАТ ПРОФСОЮЗНЫМ ЧЛЕНСТВОМ:</t>
  </si>
  <si>
    <t>ПРИНЯТО В ПРОФСОЮЗ</t>
  </si>
  <si>
    <t>ИСКЛЮЧЕНО ИЗ ПРОФСОЮЗА</t>
  </si>
  <si>
    <t>ОБЩЕЕ КОЛИЧЕСТВО ЧЛЕНОВ ПРОФСОЮЗА:</t>
  </si>
  <si>
    <t>председатели КРК первичных профсоюзных организаций</t>
  </si>
  <si>
    <t>2.1.2.</t>
  </si>
  <si>
    <t xml:space="preserve">III. </t>
  </si>
  <si>
    <t>2.1.3. </t>
  </si>
  <si>
    <t>3.1.</t>
  </si>
  <si>
    <t>5.2.1.</t>
  </si>
  <si>
    <t>5.2.2.</t>
  </si>
  <si>
    <t>Представляется в  регион.(межрегион.) организацию Профсоюза</t>
  </si>
  <si>
    <t>2-СП</t>
  </si>
  <si>
    <t>3.1.1.</t>
  </si>
  <si>
    <t>Профсоюзный актив в первичных профсоюзных организациях:</t>
  </si>
  <si>
    <t>(наименование местной организации Профсоюза)</t>
  </si>
  <si>
    <t>1.1.4.</t>
  </si>
  <si>
    <t>в т.ч.:  - организации педагогического образования</t>
  </si>
  <si>
    <t>2.3.1.</t>
  </si>
  <si>
    <t>Профсоюзный актив в местной профсоюзной организации:</t>
  </si>
  <si>
    <t xml:space="preserve">б) организаций работающих  </t>
  </si>
  <si>
    <t>до 1 января</t>
  </si>
  <si>
    <t>(ФИО)</t>
  </si>
  <si>
    <t>организации Профсоюза</t>
  </si>
  <si>
    <t xml:space="preserve">а) объединенных  </t>
  </si>
  <si>
    <t>2.4.1.</t>
  </si>
  <si>
    <t xml:space="preserve">2.4.2. </t>
  </si>
  <si>
    <t>4.1.</t>
  </si>
  <si>
    <t>В местной организации</t>
  </si>
  <si>
    <t>Профсоюзных организаций в других организациях</t>
  </si>
  <si>
    <t>ГОДОВОЙ СТАТИСТИЧЕСКИЙ ОТЧЕТ</t>
  </si>
  <si>
    <t>МЕСТНОЙ  ОРГАНИЗАЦИИ  ПРОФСОЮЗА</t>
  </si>
  <si>
    <r>
      <rPr>
        <b/>
        <sz val="13"/>
        <rFont val="Times New Roman"/>
        <family val="1"/>
      </rPr>
      <t>работающие</t>
    </r>
    <r>
      <rPr>
        <sz val="13"/>
        <rFont val="Times New Roman"/>
        <family val="1"/>
      </rPr>
      <t xml:space="preserve"> </t>
    </r>
    <r>
      <rPr>
        <sz val="11"/>
        <rFont val="Times New Roman"/>
        <family val="1"/>
      </rPr>
      <t>(в %)</t>
    </r>
  </si>
  <si>
    <t xml:space="preserve">в т.ч.: </t>
  </si>
  <si>
    <t>организации  педагогического образования</t>
  </si>
  <si>
    <t>3.1.2.</t>
  </si>
  <si>
    <t>3.1.1.1.</t>
  </si>
  <si>
    <t xml:space="preserve">3.1.1.6. </t>
  </si>
  <si>
    <t xml:space="preserve">3.1.1.7. </t>
  </si>
  <si>
    <t>3.1.1.9. </t>
  </si>
  <si>
    <t xml:space="preserve">3.1.1.8. </t>
  </si>
  <si>
    <t>3.1.1.5. </t>
  </si>
  <si>
    <t xml:space="preserve">3.1.1.4. </t>
  </si>
  <si>
    <t>3.1.1.3. </t>
  </si>
  <si>
    <t>3.1.1.2. </t>
  </si>
  <si>
    <t>3.1.2.1.</t>
  </si>
  <si>
    <t xml:space="preserve"> председатель</t>
  </si>
  <si>
    <t>3.1.2.2.</t>
  </si>
  <si>
    <t>3.1.2.3.</t>
  </si>
  <si>
    <t>3.1.2.4.</t>
  </si>
  <si>
    <t>3.1.2.5.</t>
  </si>
  <si>
    <t>4.1.1.</t>
  </si>
  <si>
    <t>4.1.1.1.</t>
  </si>
  <si>
    <t>4.1.1.2.</t>
  </si>
  <si>
    <t xml:space="preserve">4.1.1.3. </t>
  </si>
  <si>
    <t>4.1.1.4.</t>
  </si>
  <si>
    <t xml:space="preserve">4.1.1.5. </t>
  </si>
  <si>
    <t>4.2.1.</t>
  </si>
  <si>
    <t>4.2.1.1.</t>
  </si>
  <si>
    <t xml:space="preserve">4.2.1.2. </t>
  </si>
  <si>
    <t>4.2.1.3.</t>
  </si>
  <si>
    <t xml:space="preserve"> председатели </t>
  </si>
  <si>
    <r>
      <t xml:space="preserve"> заместители председателей </t>
    </r>
  </si>
  <si>
    <t xml:space="preserve"> члены профсоюзных комитетов  (без строк 3.1.1.1.,3.1.1.2.)</t>
  </si>
  <si>
    <r>
      <t xml:space="preserve"> председатели </t>
    </r>
    <r>
      <rPr>
        <sz val="11"/>
        <rFont val="Times New Roman"/>
        <family val="1"/>
      </rPr>
      <t xml:space="preserve">КРК  </t>
    </r>
  </si>
  <si>
    <t xml:space="preserve"> члены КРК </t>
  </si>
  <si>
    <t xml:space="preserve"> председатели профбюро структурных подразделений</t>
  </si>
  <si>
    <t xml:space="preserve"> профгрупорги</t>
  </si>
  <si>
    <r>
      <t xml:space="preserve"> заместители председателя </t>
    </r>
  </si>
  <si>
    <t xml:space="preserve"> члены комитетов (советов) (без строк 3.1.2.1.,3.1.2.2.)</t>
  </si>
  <si>
    <t xml:space="preserve"> члены пост. комиссий при комитетах (советах) (без строк 3.1.2.1.,3.1.2.2.,3.1.2.3.)</t>
  </si>
  <si>
    <t xml:space="preserve">председатели первичных организаций Профсоюза </t>
  </si>
  <si>
    <t xml:space="preserve"> члены пост. комиссий при профсоюзных комитетах (без  строк 3.1.1.1.,3.1.1.2.,3.1.1.3.)</t>
  </si>
  <si>
    <r>
      <t xml:space="preserve"> члены профбюро </t>
    </r>
    <r>
      <rPr>
        <sz val="11"/>
        <rFont val="Times New Roman"/>
        <family val="1"/>
      </rPr>
      <t>(без строки 3.1.1.7.)</t>
    </r>
  </si>
  <si>
    <t>2.4.3.</t>
  </si>
  <si>
    <t xml:space="preserve">                                  из них: - молодежи до 35 лет</t>
  </si>
  <si>
    <t xml:space="preserve">             в т.ч.: - педагогических работников</t>
  </si>
  <si>
    <t xml:space="preserve">              в т.ч.: - педагогических работников</t>
  </si>
  <si>
    <t xml:space="preserve">1.2.1.  </t>
  </si>
  <si>
    <t xml:space="preserve">1.2.2.  </t>
  </si>
  <si>
    <t xml:space="preserve">1.2.3. </t>
  </si>
  <si>
    <t xml:space="preserve">1.2.4. </t>
  </si>
  <si>
    <t>1.3.</t>
  </si>
  <si>
    <t>1.4.</t>
  </si>
  <si>
    <t xml:space="preserve">ОБЩЕЕ КОЛ-ВО ГОСУДАРСТВЕННЫХ И МУНИЦИП. ОБРАЗОВА- </t>
  </si>
  <si>
    <t xml:space="preserve">ТЕЛЬНЫХ ОРГАНИЗАЦИЙ, НАХОДЯЩИХСЯ  НА ТЕРРИТОРИИ     </t>
  </si>
  <si>
    <r>
      <rPr>
        <b/>
        <u val="single"/>
        <sz val="12"/>
        <rFont val="Times New Roman"/>
        <family val="1"/>
      </rPr>
      <t>2.1.</t>
    </r>
    <r>
      <rPr>
        <b/>
        <sz val="12"/>
        <rFont val="Times New Roman"/>
        <family val="1"/>
      </rPr>
      <t> </t>
    </r>
  </si>
  <si>
    <r>
      <rPr>
        <b/>
        <u val="single"/>
        <sz val="12"/>
        <rFont val="Times New Roman"/>
        <family val="1"/>
      </rPr>
      <t>2.3.</t>
    </r>
    <r>
      <rPr>
        <b/>
        <sz val="12"/>
        <rFont val="Times New Roman"/>
        <family val="1"/>
      </rPr>
      <t xml:space="preserve">  </t>
    </r>
  </si>
  <si>
    <r>
      <rPr>
        <b/>
        <u val="single"/>
        <sz val="12"/>
        <rFont val="Times New Roman"/>
        <family val="1"/>
      </rPr>
      <t>2.4.</t>
    </r>
    <r>
      <rPr>
        <b/>
        <sz val="10"/>
        <rFont val="Times New Roman"/>
        <family val="1"/>
      </rPr>
      <t xml:space="preserve">  </t>
    </r>
  </si>
  <si>
    <r>
      <rPr>
        <b/>
        <u val="single"/>
        <sz val="12"/>
        <rFont val="Times New Roman"/>
        <family val="1"/>
      </rPr>
      <t>2.5.</t>
    </r>
    <r>
      <rPr>
        <b/>
        <sz val="12"/>
        <rFont val="Times New Roman"/>
        <family val="1"/>
      </rPr>
      <t xml:space="preserve"> </t>
    </r>
  </si>
  <si>
    <r>
      <rPr>
        <b/>
        <u val="single"/>
        <sz val="12"/>
        <rFont val="Times New Roman"/>
        <family val="1"/>
      </rPr>
      <t>2.6.</t>
    </r>
    <r>
      <rPr>
        <b/>
        <sz val="12"/>
        <rFont val="Times New Roman"/>
        <family val="1"/>
      </rPr>
      <t xml:space="preserve"> </t>
    </r>
  </si>
  <si>
    <r>
      <rPr>
        <b/>
        <u val="single"/>
        <sz val="12"/>
        <rFont val="Times New Roman"/>
        <family val="1"/>
      </rPr>
      <t>2.7.</t>
    </r>
    <r>
      <rPr>
        <b/>
        <sz val="12"/>
        <rFont val="Times New Roman"/>
        <family val="1"/>
      </rPr>
      <t xml:space="preserve"> </t>
    </r>
  </si>
  <si>
    <r>
      <rPr>
        <b/>
        <u val="single"/>
        <sz val="12"/>
        <rFont val="Times New Roman"/>
        <family val="1"/>
      </rPr>
      <t>ОБЩЕЕ КОЛИЧЕСТВО ШТАТНЫХ РАБОТНИКОВ</t>
    </r>
    <r>
      <rPr>
        <sz val="10"/>
        <rFont val="Times New Roman"/>
        <family val="1"/>
      </rPr>
      <t xml:space="preserve"> (от 0,15 ст. до 1 ст.)</t>
    </r>
  </si>
  <si>
    <r>
      <rPr>
        <b/>
        <u val="single"/>
        <sz val="12"/>
        <rFont val="Times New Roman"/>
        <family val="1"/>
      </rPr>
      <t>5.1.</t>
    </r>
    <r>
      <rPr>
        <b/>
        <sz val="12"/>
        <rFont val="Times New Roman"/>
        <family val="1"/>
      </rPr>
      <t xml:space="preserve"> </t>
    </r>
  </si>
  <si>
    <r>
      <rPr>
        <b/>
        <u val="single"/>
        <sz val="12"/>
        <rFont val="Times New Roman"/>
        <family val="1"/>
      </rPr>
      <t>5.2.</t>
    </r>
    <r>
      <rPr>
        <b/>
        <sz val="12"/>
        <rFont val="Times New Roman"/>
        <family val="1"/>
      </rPr>
      <t xml:space="preserve"> </t>
    </r>
  </si>
  <si>
    <t>5.3.3.</t>
  </si>
  <si>
    <r>
      <t>ИМЕЮТСЯ ЧЛЕНЫ ОБЩЕРОССИЙСКОГО ПРОФСОЮЗА ОБРАЗОВАНИЯ</t>
    </r>
    <r>
      <rPr>
        <b/>
        <sz val="12"/>
        <rFont val="Times New Roman"/>
        <family val="1"/>
      </rPr>
      <t xml:space="preserve">   </t>
    </r>
  </si>
  <si>
    <t xml:space="preserve">            - обучающихся (студентов)</t>
  </si>
  <si>
    <r>
      <rPr>
        <sz val="8"/>
        <rFont val="Times New Roman"/>
        <family val="1"/>
      </rPr>
      <t xml:space="preserve">               - </t>
    </r>
    <r>
      <rPr>
        <sz val="11"/>
        <rFont val="Times New Roman"/>
        <family val="1"/>
      </rPr>
      <t>обучающихся (студентов)</t>
    </r>
  </si>
  <si>
    <r>
      <t>Другие организации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(см. пояснение)</t>
    </r>
    <r>
      <rPr>
        <vertAlign val="superscript"/>
        <sz val="12"/>
        <rFont val="Times New Roman"/>
        <family val="1"/>
      </rPr>
      <t xml:space="preserve"> </t>
    </r>
  </si>
  <si>
    <r>
      <t xml:space="preserve">Всего малочисленных профсоюзных организаций </t>
    </r>
    <r>
      <rPr>
        <sz val="11"/>
        <rFont val="Times New Roman"/>
        <family val="1"/>
      </rPr>
      <t>(где не избираются профкомы)</t>
    </r>
  </si>
  <si>
    <r>
      <t xml:space="preserve"> члены КРК (с председателем)</t>
    </r>
    <r>
      <rPr>
        <sz val="11"/>
        <rFont val="Times New Roman"/>
        <family val="1"/>
      </rPr>
      <t xml:space="preserve"> </t>
    </r>
  </si>
  <si>
    <t>4.2.2.</t>
  </si>
  <si>
    <t>4.2.2.1.</t>
  </si>
  <si>
    <t xml:space="preserve">4.2.2.2. </t>
  </si>
  <si>
    <t>4.2.2.3.</t>
  </si>
  <si>
    <t>юрист</t>
  </si>
  <si>
    <t xml:space="preserve">председатель </t>
  </si>
  <si>
    <t>зам.председателя</t>
  </si>
  <si>
    <t>другие специалисты</t>
  </si>
  <si>
    <t>4.2.2.4.</t>
  </si>
  <si>
    <t xml:space="preserve">бухгалтер </t>
  </si>
  <si>
    <t>Общее количество школ профактива и семинаров на мун. уровне и уровне ППО</t>
  </si>
  <si>
    <t>другие (см. пояснение)</t>
  </si>
  <si>
    <r>
      <t>Организации дополнительного образования</t>
    </r>
    <r>
      <rPr>
        <sz val="13"/>
        <rFont val="Times New Roman"/>
        <family val="1"/>
      </rPr>
      <t xml:space="preserve"> (детей)</t>
    </r>
  </si>
  <si>
    <r>
      <t xml:space="preserve">в них: </t>
    </r>
  </si>
  <si>
    <r>
      <t xml:space="preserve">из них: </t>
    </r>
  </si>
  <si>
    <r>
      <t>молодежь до 35 лет</t>
    </r>
    <r>
      <rPr>
        <sz val="13"/>
        <rFont val="Times New Roman"/>
        <family val="1"/>
      </rPr>
      <t xml:space="preserve"> (из педагогических работников) </t>
    </r>
    <r>
      <rPr>
        <sz val="11"/>
        <rFont val="Times New Roman"/>
        <family val="1"/>
      </rPr>
      <t>(в %)</t>
    </r>
  </si>
  <si>
    <t>в организациях (учреждениях) педагогического образования</t>
  </si>
  <si>
    <t>на 1 января 2019 г.</t>
  </si>
  <si>
    <t>в них: - работающих (без совместителей)</t>
  </si>
  <si>
    <t xml:space="preserve">в них: - работающих (без совместителей) </t>
  </si>
  <si>
    <t>в них: - работающих   (без совместителей)</t>
  </si>
  <si>
    <r>
      <t xml:space="preserve">в них: </t>
    </r>
    <r>
      <rPr>
        <b/>
        <sz val="11"/>
        <rFont val="Times New Roman"/>
        <family val="1"/>
      </rPr>
      <t>-</t>
    </r>
    <r>
      <rPr>
        <sz val="11"/>
        <rFont val="Times New Roman"/>
        <family val="1"/>
      </rPr>
      <t xml:space="preserve"> работающих   (без совместителей)</t>
    </r>
  </si>
  <si>
    <t>в них: - профсоюзных организаций структурных подразделений (профбюро)</t>
  </si>
  <si>
    <t xml:space="preserve">          - профсоюзных групп</t>
  </si>
  <si>
    <r>
      <t>в них</t>
    </r>
    <r>
      <rPr>
        <sz val="8"/>
        <rFont val="Times New Roman"/>
        <family val="1"/>
      </rPr>
      <t>: -</t>
    </r>
    <r>
      <rPr>
        <sz val="11"/>
        <rFont val="Times New Roman"/>
        <family val="1"/>
      </rPr>
      <t xml:space="preserve"> членов Профсоюза </t>
    </r>
    <r>
      <rPr>
        <i/>
        <sz val="11"/>
        <rFont val="Times New Roman"/>
        <family val="1"/>
      </rPr>
      <t>(без неработающих пенсионеров)</t>
    </r>
    <r>
      <rPr>
        <sz val="11"/>
        <rFont val="Times New Roman"/>
        <family val="1"/>
      </rPr>
      <t xml:space="preserve"> </t>
    </r>
  </si>
  <si>
    <r>
      <t>в них:</t>
    </r>
    <r>
      <rPr>
        <sz val="8"/>
        <rFont val="Times New Roman"/>
        <family val="1"/>
      </rPr>
      <t xml:space="preserve"> - </t>
    </r>
    <r>
      <rPr>
        <sz val="11"/>
        <rFont val="Times New Roman"/>
        <family val="1"/>
      </rPr>
      <t>членов Профсоюза</t>
    </r>
    <r>
      <rPr>
        <i/>
        <sz val="11"/>
        <rFont val="Times New Roman"/>
        <family val="1"/>
      </rPr>
      <t xml:space="preserve"> (без неработающих пенсионеров) </t>
    </r>
    <r>
      <rPr>
        <sz val="11"/>
        <rFont val="Times New Roman"/>
        <family val="1"/>
      </rPr>
      <t xml:space="preserve"> </t>
    </r>
  </si>
  <si>
    <r>
      <t xml:space="preserve">в них: </t>
    </r>
    <r>
      <rPr>
        <sz val="8"/>
        <rFont val="Times New Roman"/>
        <family val="1"/>
      </rPr>
      <t xml:space="preserve">- </t>
    </r>
    <r>
      <rPr>
        <sz val="11"/>
        <rFont val="Times New Roman"/>
        <family val="1"/>
      </rPr>
      <t xml:space="preserve">членов Профсоюза  работающих  </t>
    </r>
  </si>
  <si>
    <r>
      <t xml:space="preserve">в них: </t>
    </r>
    <r>
      <rPr>
        <sz val="8"/>
        <rFont val="Times New Roman"/>
        <family val="1"/>
      </rPr>
      <t>-</t>
    </r>
    <r>
      <rPr>
        <sz val="11"/>
        <rFont val="Times New Roman"/>
        <family val="1"/>
      </rPr>
      <t xml:space="preserve"> членов Профсоюза </t>
    </r>
    <r>
      <rPr>
        <i/>
        <sz val="11"/>
        <rFont val="Times New Roman"/>
        <family val="1"/>
      </rPr>
      <t xml:space="preserve"> (без неработающих пенсионеров)</t>
    </r>
    <r>
      <rPr>
        <sz val="11"/>
        <rFont val="Times New Roman"/>
        <family val="1"/>
      </rPr>
      <t xml:space="preserve"> </t>
    </r>
  </si>
  <si>
    <r>
      <t>в них:</t>
    </r>
    <r>
      <rPr>
        <sz val="8"/>
        <rFont val="Times New Roman"/>
        <family val="1"/>
      </rPr>
      <t xml:space="preserve"> -</t>
    </r>
    <r>
      <rPr>
        <sz val="11"/>
        <rFont val="Times New Roman"/>
        <family val="1"/>
      </rPr>
      <t xml:space="preserve"> членов Профсоюза</t>
    </r>
  </si>
  <si>
    <r>
      <t xml:space="preserve">в них: </t>
    </r>
    <r>
      <rPr>
        <sz val="8"/>
        <rFont val="Times New Roman"/>
        <family val="1"/>
      </rPr>
      <t xml:space="preserve">- </t>
    </r>
    <r>
      <rPr>
        <sz val="11"/>
        <rFont val="Times New Roman"/>
        <family val="1"/>
      </rPr>
      <t xml:space="preserve">членов Профсоюза </t>
    </r>
    <r>
      <rPr>
        <i/>
        <sz val="11"/>
        <rFont val="Times New Roman"/>
        <family val="1"/>
      </rPr>
      <t xml:space="preserve">(без неработающих пенсионеров)  </t>
    </r>
  </si>
  <si>
    <r>
      <t xml:space="preserve">в них: </t>
    </r>
    <r>
      <rPr>
        <sz val="8"/>
        <rFont val="Times New Roman"/>
        <family val="1"/>
      </rPr>
      <t>-</t>
    </r>
    <r>
      <rPr>
        <sz val="11"/>
        <rFont val="Times New Roman"/>
        <family val="1"/>
      </rPr>
      <t xml:space="preserve"> членов Профсоюза  работающих  </t>
    </r>
  </si>
  <si>
    <t>в т.ч.: - педагогические работники</t>
  </si>
  <si>
    <t xml:space="preserve"> из них: - педагогических работников</t>
  </si>
  <si>
    <r>
      <t xml:space="preserve">           </t>
    </r>
    <r>
      <rPr>
        <sz val="8"/>
        <rFont val="Times New Roman"/>
        <family val="1"/>
      </rPr>
      <t xml:space="preserve"> - </t>
    </r>
    <r>
      <rPr>
        <sz val="11"/>
        <rFont val="Times New Roman"/>
        <family val="1"/>
      </rPr>
      <t>обучающихся (студентов)</t>
    </r>
  </si>
  <si>
    <t>в) организаций обучающихся (студентов)</t>
  </si>
  <si>
    <t xml:space="preserve">обучающиеся (студенты) </t>
  </si>
  <si>
    <r>
      <rPr>
        <b/>
        <sz val="13"/>
        <rFont val="Times New Roman"/>
        <family val="1"/>
      </rPr>
      <t>обучающиеся (студенты)</t>
    </r>
    <r>
      <rPr>
        <b/>
        <sz val="12"/>
        <rFont val="Times New Roman"/>
        <family val="1"/>
      </rPr>
      <t xml:space="preserve"> </t>
    </r>
    <r>
      <rPr>
        <sz val="11"/>
        <rFont val="Times New Roman"/>
        <family val="1"/>
      </rPr>
      <t>(в %)</t>
    </r>
  </si>
  <si>
    <r>
      <t>Организации дополнительного образования</t>
    </r>
    <r>
      <rPr>
        <sz val="13"/>
        <rFont val="Times New Roman"/>
        <family val="1"/>
      </rPr>
      <t xml:space="preserve"> </t>
    </r>
    <r>
      <rPr>
        <sz val="11"/>
        <rFont val="Times New Roman"/>
        <family val="1"/>
      </rPr>
      <t>(детей)</t>
    </r>
  </si>
  <si>
    <r>
      <rPr>
        <b/>
        <sz val="13"/>
        <rFont val="Times New Roman"/>
        <family val="1"/>
      </rPr>
      <t>работающие и обучающиеся (студенты)</t>
    </r>
    <r>
      <rPr>
        <b/>
        <sz val="12"/>
        <rFont val="Times New Roman"/>
        <family val="1"/>
      </rPr>
      <t xml:space="preserve"> </t>
    </r>
    <r>
      <rPr>
        <sz val="11"/>
        <rFont val="Times New Roman"/>
        <family val="1"/>
      </rPr>
      <t>(в %)</t>
    </r>
  </si>
  <si>
    <t>КОЛИЧЕСТВО ОБРАЗОВАТЕЛЬНЫХ ОРГАНИЗАЦИЙ, В КОТОРЫХ</t>
  </si>
  <si>
    <t>1.2.1.1.</t>
  </si>
  <si>
    <t>2.1.3.1.</t>
  </si>
  <si>
    <t xml:space="preserve">в т.ч.:  </t>
  </si>
  <si>
    <t xml:space="preserve">          - в профессиональных образовательных организациях (СПО)</t>
  </si>
  <si>
    <t>организаций работающих ВСЕГО:</t>
  </si>
  <si>
    <t>организаций обучающихся (студентов) ВСЕГО:</t>
  </si>
  <si>
    <t xml:space="preserve">                        из общего числа:</t>
  </si>
  <si>
    <t xml:space="preserve">                                            - в профессиональных образовательных организациях (СПО)</t>
  </si>
  <si>
    <t>2.5.1.</t>
  </si>
  <si>
    <t xml:space="preserve">         работающих ВСЕГО:</t>
  </si>
  <si>
    <t xml:space="preserve">         из них:</t>
  </si>
  <si>
    <t xml:space="preserve">         - в профессиональных образовательных организациях (СПО)</t>
  </si>
  <si>
    <t>2.5.2.</t>
  </si>
  <si>
    <t xml:space="preserve">         обучающихся (студентов) ВСЕГО:</t>
  </si>
  <si>
    <t xml:space="preserve"> в т.ч.: - ответственные за организацию работы по приему в Профсоюз </t>
  </si>
  <si>
    <r>
      <t xml:space="preserve">СВЕДЕНИЯ ОБ ОРГАНИЗАЦИЯХ </t>
    </r>
  </si>
  <si>
    <t>Дошкольные образовательные организации</t>
  </si>
  <si>
    <t>в них: - работников дошкольного образования</t>
  </si>
  <si>
    <r>
      <t xml:space="preserve">Дошкольные образовательные организации </t>
    </r>
  </si>
  <si>
    <t>Профорганизаций в дошкольных образовательных организациях</t>
  </si>
  <si>
    <t>объединенных организаций ВСЕГО:</t>
  </si>
  <si>
    <t xml:space="preserve"> в т.ч.: - молодежь до 35 лет</t>
  </si>
  <si>
    <t xml:space="preserve">           - представители (уполномоченные) региональной  организации Профсоюза</t>
  </si>
  <si>
    <r>
      <rPr>
        <b/>
        <u val="single"/>
        <sz val="12"/>
        <rFont val="Times New Roman"/>
        <family val="1"/>
      </rPr>
      <t>ОБЩЕЕ КОЛИЧЕСТВО ПРОФСОЮЗНОГО АКТИВА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(сумма 3.1.1. и 3.1.2.)</t>
    </r>
  </si>
  <si>
    <t>ШТАТНЫЕ РАБОТНИКИ ОРГАНИЗАЦИЙ ПРОФСОЮЗА</t>
  </si>
  <si>
    <t>В первичных организациях</t>
  </si>
  <si>
    <r>
      <t xml:space="preserve">В первичных организациях профессиональных образ. организаций </t>
    </r>
    <r>
      <rPr>
        <sz val="13"/>
        <rFont val="Times New Roman"/>
        <family val="1"/>
      </rPr>
      <t>(СПО)</t>
    </r>
    <r>
      <rPr>
        <b/>
        <sz val="13"/>
        <rFont val="Times New Roman"/>
        <family val="1"/>
      </rPr>
      <t xml:space="preserve"> </t>
    </r>
  </si>
  <si>
    <t>Прошли обучение на муниципальном уровне и уровне ППО</t>
  </si>
  <si>
    <t>Кол-во первич. профс. орган. с числ. менее 50% от общ. числа раб./студентов</t>
  </si>
  <si>
    <r>
      <t>Профессиональные образовательные организации</t>
    </r>
    <r>
      <rPr>
        <sz val="11"/>
        <rFont val="Times New Roman"/>
        <family val="1"/>
      </rPr>
      <t xml:space="preserve"> (СПО) (см. пояснение)</t>
    </r>
  </si>
  <si>
    <t>ВСЕГО ОБУЧАЮЩИХСЯ в организациях, в которых имеются чл. Профсоюза</t>
  </si>
  <si>
    <r>
      <rPr>
        <b/>
        <u val="single"/>
        <sz val="12"/>
        <rFont val="Times New Roman"/>
        <family val="1"/>
      </rPr>
      <t>ВСЕГО РАБОТАЮЩИХ в орг-ях, в которых имеются чл. Профсоюза</t>
    </r>
    <r>
      <rPr>
        <b/>
        <sz val="13"/>
        <rFont val="Times New Roman"/>
        <family val="1"/>
      </rPr>
      <t xml:space="preserve"> </t>
    </r>
    <r>
      <rPr>
        <sz val="10"/>
        <rFont val="Times New Roman"/>
        <family val="1"/>
      </rPr>
      <t>(без совмест.)</t>
    </r>
  </si>
  <si>
    <r>
      <t xml:space="preserve">Профсоюзных организаций в профессиональных образ. организациях </t>
    </r>
    <r>
      <rPr>
        <sz val="13"/>
        <rFont val="Times New Roman"/>
        <family val="1"/>
      </rPr>
      <t>(СПО)</t>
    </r>
    <r>
      <rPr>
        <b/>
        <sz val="13"/>
        <rFont val="Times New Roman"/>
        <family val="1"/>
      </rPr>
      <t>:</t>
    </r>
  </si>
  <si>
    <r>
      <t>Профорганизаций  в организациях дополнительного образования</t>
    </r>
    <r>
      <rPr>
        <sz val="13"/>
        <rFont val="Times New Roman"/>
        <family val="1"/>
      </rPr>
      <t xml:space="preserve"> (детей)</t>
    </r>
  </si>
  <si>
    <t xml:space="preserve">ОБЩЕЕ КОЛИЧЕСТВО ПЕРВИЧНЫХ ПРОФСОЮЗНЫХ ОРГАНИЗАЦИЙ  </t>
  </si>
  <si>
    <t>ОХВАТ ПРОФСОЮЗНЫМ ЧЛЕНСТВОМ ПО КАТЕГОРИЯМ ЧЛ. ПРОФСОЮЗА:</t>
  </si>
  <si>
    <t>2.1.8.</t>
  </si>
  <si>
    <t>2.1.9.</t>
  </si>
  <si>
    <t>2.1.9.1.</t>
  </si>
  <si>
    <t>2.1.9.2.</t>
  </si>
  <si>
    <t>2.1.9.3.</t>
  </si>
  <si>
    <t>в них: - работающих  (без совместителей) ВСЕГО</t>
  </si>
  <si>
    <t xml:space="preserve">              в т.ч.: - педагогических работников ВСЕГО</t>
  </si>
  <si>
    <t xml:space="preserve">                                  из них: - молодежи до 35 лет ВСЕГО</t>
  </si>
  <si>
    <t>ВЫБЫЛО ИЗ ПРОФСОЮЗА ПО ЛИЧНОМУ ЗАЯВЛЕНИЮ О ВЫХОДЕ</t>
  </si>
  <si>
    <r>
      <t>Общеобразовательные организации</t>
    </r>
    <r>
      <rPr>
        <sz val="11"/>
        <rFont val="Times New Roman"/>
        <family val="1"/>
      </rPr>
      <t xml:space="preserve"> (образ. комплексы, школы, лицеи, гимназии и т.д.)</t>
    </r>
    <r>
      <rPr>
        <sz val="13"/>
        <rFont val="Times New Roman"/>
        <family val="1"/>
      </rPr>
      <t xml:space="preserve"> </t>
    </r>
  </si>
  <si>
    <r>
      <t xml:space="preserve">Общеобразовательные организации </t>
    </r>
    <r>
      <rPr>
        <sz val="12"/>
        <rFont val="Times New Roman"/>
        <family val="1"/>
      </rPr>
      <t xml:space="preserve">(образ. комплексы, школы, лицеи, гимназии и т.д.) </t>
    </r>
  </si>
  <si>
    <r>
      <rPr>
        <b/>
        <sz val="13"/>
        <rFont val="Times New Roman"/>
        <family val="1"/>
      </rPr>
      <t>Профессиональные образовательные организации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(СПО) (см. пояснение)</t>
    </r>
  </si>
  <si>
    <r>
      <t>Профорганизаций  в общеобраз. организациях</t>
    </r>
    <r>
      <rPr>
        <sz val="12"/>
        <rFont val="Times New Roman"/>
        <family val="1"/>
      </rPr>
      <t xml:space="preserve"> (образ. компл., школы, лицеи и т.д.) </t>
    </r>
  </si>
  <si>
    <t>Курманаевская районная организация Оренбургской областной общественной организации профсоюза работников народного образования и науки РФ</t>
  </si>
  <si>
    <t>Петрова Вера Николаевна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</si>
</sst>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[$-FC19]d\ mmmm\ yyyy\ &quot;г.&quot;"/>
  </numFmts>
  <fonts count="87">
    <font>
      <sz val="10"/>
      <name val="Arial Cyr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2"/>
    </font>
    <font>
      <b/>
      <i/>
      <sz val="10"/>
      <name val="Arial Cyr"/>
      <family val="2"/>
    </font>
    <font>
      <b/>
      <i/>
      <sz val="11"/>
      <name val="Times New Roman"/>
      <family val="1"/>
    </font>
    <font>
      <sz val="10"/>
      <name val="Arial"/>
      <family val="2"/>
    </font>
    <font>
      <b/>
      <sz val="11.5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11"/>
      <name val="Arial Cyr"/>
      <family val="2"/>
    </font>
    <font>
      <sz val="10"/>
      <color indexed="30"/>
      <name val="Arial"/>
      <family val="2"/>
    </font>
    <font>
      <b/>
      <sz val="10"/>
      <color indexed="10"/>
      <name val="Arial Cyr"/>
      <family val="0"/>
    </font>
    <font>
      <sz val="8"/>
      <name val="Tahoma"/>
      <family val="2"/>
    </font>
    <font>
      <sz val="9"/>
      <name val="Tahoma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b/>
      <sz val="14"/>
      <color indexed="10"/>
      <name val="Times New Roman"/>
      <family val="1"/>
    </font>
    <font>
      <sz val="11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9"/>
      <color indexed="10"/>
      <name val="Arial Cyr"/>
      <family val="2"/>
    </font>
    <font>
      <sz val="10"/>
      <color indexed="60"/>
      <name val="Arial Cyr"/>
      <family val="2"/>
    </font>
    <font>
      <sz val="10"/>
      <color indexed="30"/>
      <name val="Arial Cyr"/>
      <family val="2"/>
    </font>
    <font>
      <b/>
      <sz val="10"/>
      <color indexed="30"/>
      <name val="Arial Cyr"/>
      <family val="0"/>
    </font>
    <font>
      <b/>
      <sz val="10"/>
      <color indexed="56"/>
      <name val="Arial Cyr"/>
      <family val="0"/>
    </font>
    <font>
      <sz val="10"/>
      <color indexed="17"/>
      <name val="Arial Cyr"/>
      <family val="0"/>
    </font>
    <font>
      <b/>
      <sz val="10"/>
      <color indexed="9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9"/>
      <color rgb="FFFF0000"/>
      <name val="Arial Cyr"/>
      <family val="2"/>
    </font>
    <font>
      <sz val="10"/>
      <color rgb="FFC00000"/>
      <name val="Arial Cyr"/>
      <family val="2"/>
    </font>
    <font>
      <sz val="10"/>
      <color rgb="FF0070C0"/>
      <name val="Arial Cyr"/>
      <family val="2"/>
    </font>
    <font>
      <b/>
      <sz val="10"/>
      <color rgb="FF0070C0"/>
      <name val="Arial Cyr"/>
      <family val="0"/>
    </font>
    <font>
      <b/>
      <sz val="10"/>
      <color rgb="FF002060"/>
      <name val="Arial Cyr"/>
      <family val="0"/>
    </font>
    <font>
      <sz val="10"/>
      <color rgb="FF00B050"/>
      <name val="Arial Cyr"/>
      <family val="0"/>
    </font>
    <font>
      <b/>
      <sz val="10"/>
      <color theme="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FF0000"/>
      <name val="Arial Cyr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/>
      <top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/>
      <right/>
      <top/>
      <bottom style="thin"/>
    </border>
    <border>
      <left style="medium"/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/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medium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/>
      <right/>
      <top/>
      <bottom style="medium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/>
      <bottom style="medium"/>
    </border>
    <border>
      <left/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6" fillId="0" borderId="0" applyFill="0" applyBorder="0" applyAlignment="0" applyProtection="0"/>
    <xf numFmtId="0" fontId="73" fillId="0" borderId="9" applyNumberFormat="0" applyFill="0" applyAlignment="0" applyProtection="0"/>
    <xf numFmtId="0" fontId="0" fillId="0" borderId="10" applyBorder="0">
      <alignment/>
      <protection/>
    </xf>
    <xf numFmtId="0" fontId="0" fillId="0" borderId="10" applyBorder="0">
      <alignment/>
      <protection/>
    </xf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33" borderId="0" xfId="0" applyNumberFormat="1" applyFont="1" applyFill="1" applyAlignment="1" applyProtection="1">
      <alignment horizontal="center" vertical="center"/>
      <protection/>
    </xf>
    <xf numFmtId="0" fontId="4" fillId="33" borderId="0" xfId="0" applyFont="1" applyFill="1" applyAlignment="1">
      <alignment horizontal="center" vertical="center"/>
    </xf>
    <xf numFmtId="3" fontId="4" fillId="33" borderId="0" xfId="0" applyNumberFormat="1" applyFont="1" applyFill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33" borderId="1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11" fillId="33" borderId="12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33" borderId="18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11" fillId="33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3" fontId="4" fillId="33" borderId="20" xfId="0" applyNumberFormat="1" applyFont="1" applyFill="1" applyBorder="1" applyAlignment="1" applyProtection="1">
      <alignment horizontal="center" vertical="center"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 locked="0"/>
    </xf>
    <xf numFmtId="3" fontId="4" fillId="33" borderId="21" xfId="0" applyNumberFormat="1" applyFont="1" applyFill="1" applyBorder="1" applyAlignment="1" applyProtection="1">
      <alignment horizontal="center" vertical="center"/>
      <protection locked="0"/>
    </xf>
    <xf numFmtId="3" fontId="4" fillId="33" borderId="22" xfId="0" applyNumberFormat="1" applyFont="1" applyFill="1" applyBorder="1" applyAlignment="1" applyProtection="1">
      <alignment horizontal="center" vertical="center"/>
      <protection locked="0"/>
    </xf>
    <xf numFmtId="3" fontId="4" fillId="33" borderId="23" xfId="0" applyNumberFormat="1" applyFont="1" applyFill="1" applyBorder="1" applyAlignment="1" applyProtection="1">
      <alignment horizontal="center" vertical="center"/>
      <protection locked="0"/>
    </xf>
    <xf numFmtId="3" fontId="4" fillId="33" borderId="20" xfId="0" applyNumberFormat="1" applyFont="1" applyFill="1" applyBorder="1" applyAlignment="1" applyProtection="1">
      <alignment horizontal="center" vertical="center"/>
      <protection locked="0"/>
    </xf>
    <xf numFmtId="3" fontId="4" fillId="33" borderId="24" xfId="0" applyNumberFormat="1" applyFont="1" applyFill="1" applyBorder="1" applyAlignment="1" applyProtection="1">
      <alignment horizontal="center" vertical="center"/>
      <protection locked="0"/>
    </xf>
    <xf numFmtId="3" fontId="3" fillId="33" borderId="15" xfId="0" applyNumberFormat="1" applyFont="1" applyFill="1" applyBorder="1" applyAlignment="1" applyProtection="1">
      <alignment horizontal="center" vertical="center"/>
      <protection locked="0"/>
    </xf>
    <xf numFmtId="3" fontId="4" fillId="33" borderId="25" xfId="0" applyNumberFormat="1" applyFont="1" applyFill="1" applyBorder="1" applyAlignment="1" applyProtection="1">
      <alignment horizontal="center" vertical="center"/>
      <protection locked="0"/>
    </xf>
    <xf numFmtId="3" fontId="4" fillId="33" borderId="26" xfId="0" applyNumberFormat="1" applyFont="1" applyFill="1" applyBorder="1" applyAlignment="1" applyProtection="1">
      <alignment horizontal="center" vertical="center"/>
      <protection locked="0"/>
    </xf>
    <xf numFmtId="3" fontId="4" fillId="33" borderId="27" xfId="0" applyNumberFormat="1" applyFont="1" applyFill="1" applyBorder="1" applyAlignment="1" applyProtection="1">
      <alignment horizontal="center" vertical="center"/>
      <protection locked="0"/>
    </xf>
    <xf numFmtId="0" fontId="11" fillId="33" borderId="28" xfId="0" applyFont="1" applyFill="1" applyBorder="1" applyAlignment="1">
      <alignment horizontal="center" vertical="center"/>
    </xf>
    <xf numFmtId="0" fontId="12" fillId="34" borderId="28" xfId="0" applyFont="1" applyFill="1" applyBorder="1" applyAlignment="1">
      <alignment horizontal="center" vertical="center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17" fillId="33" borderId="29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9" fillId="33" borderId="29" xfId="0" applyFont="1" applyFill="1" applyBorder="1" applyAlignment="1">
      <alignment horizontal="center" vertical="center"/>
    </xf>
    <xf numFmtId="3" fontId="3" fillId="35" borderId="32" xfId="0" applyNumberFormat="1" applyFont="1" applyFill="1" applyBorder="1" applyAlignment="1" applyProtection="1">
      <alignment horizontal="center" vertical="center"/>
      <protection/>
    </xf>
    <xf numFmtId="3" fontId="3" fillId="35" borderId="33" xfId="0" applyNumberFormat="1" applyFont="1" applyFill="1" applyBorder="1" applyAlignment="1" applyProtection="1">
      <alignment horizontal="center" vertical="center"/>
      <protection/>
    </xf>
    <xf numFmtId="0" fontId="76" fillId="0" borderId="0" xfId="0" applyFont="1" applyAlignment="1">
      <alignment/>
    </xf>
    <xf numFmtId="0" fontId="77" fillId="0" borderId="0" xfId="0" applyFont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3" fillId="34" borderId="28" xfId="0" applyFont="1" applyFill="1" applyBorder="1" applyAlignment="1" applyProtection="1">
      <alignment horizontal="center" vertical="center"/>
      <protection/>
    </xf>
    <xf numFmtId="3" fontId="3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29" xfId="0" applyFont="1" applyBorder="1" applyAlignment="1">
      <alignment/>
    </xf>
    <xf numFmtId="0" fontId="13" fillId="34" borderId="12" xfId="0" applyFont="1" applyFill="1" applyBorder="1" applyAlignment="1" applyProtection="1">
      <alignment horizontal="center" vertical="center"/>
      <protection/>
    </xf>
    <xf numFmtId="0" fontId="9" fillId="33" borderId="29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/>
    </xf>
    <xf numFmtId="49" fontId="9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 vertical="top"/>
    </xf>
    <xf numFmtId="0" fontId="9" fillId="33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3" fontId="3" fillId="35" borderId="20" xfId="0" applyNumberFormat="1" applyFont="1" applyFill="1" applyBorder="1" applyAlignment="1" applyProtection="1">
      <alignment horizontal="center" vertical="center"/>
      <protection/>
    </xf>
    <xf numFmtId="3" fontId="3" fillId="35" borderId="36" xfId="0" applyNumberFormat="1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3" fontId="3" fillId="0" borderId="15" xfId="0" applyNumberFormat="1" applyFont="1" applyFill="1" applyBorder="1" applyAlignment="1" applyProtection="1">
      <alignment horizontal="center"/>
      <protection/>
    </xf>
    <xf numFmtId="3" fontId="3" fillId="35" borderId="22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 applyProtection="1">
      <alignment horizontal="center" vertical="center"/>
      <protection locked="0"/>
    </xf>
    <xf numFmtId="180" fontId="3" fillId="35" borderId="37" xfId="55" applyNumberFormat="1" applyFont="1" applyFill="1" applyBorder="1" applyAlignment="1" applyProtection="1">
      <alignment horizontal="center" vertical="center"/>
      <protection/>
    </xf>
    <xf numFmtId="0" fontId="11" fillId="33" borderId="19" xfId="0" applyFont="1" applyFill="1" applyBorder="1" applyAlignment="1">
      <alignment horizontal="right" vertical="center"/>
    </xf>
    <xf numFmtId="0" fontId="11" fillId="33" borderId="13" xfId="0" applyFont="1" applyFill="1" applyBorder="1" applyAlignment="1">
      <alignment horizontal="right" vertical="center"/>
    </xf>
    <xf numFmtId="0" fontId="11" fillId="33" borderId="13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12" fillId="0" borderId="28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/>
    </xf>
    <xf numFmtId="0" fontId="4" fillId="33" borderId="29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/>
    </xf>
    <xf numFmtId="0" fontId="0" fillId="33" borderId="38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>
      <alignment horizontal="center" vertical="center"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>
      <alignment horizontal="right" vertical="center"/>
    </xf>
    <xf numFmtId="49" fontId="25" fillId="0" borderId="0" xfId="0" applyNumberFormat="1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8" fillId="33" borderId="39" xfId="0" applyFont="1" applyFill="1" applyBorder="1" applyAlignment="1">
      <alignment horizontal="center" vertical="center"/>
    </xf>
    <xf numFmtId="0" fontId="8" fillId="0" borderId="40" xfId="0" applyFont="1" applyBorder="1" applyAlignment="1">
      <alignment/>
    </xf>
    <xf numFmtId="0" fontId="18" fillId="0" borderId="0" xfId="0" applyFont="1" applyBorder="1" applyAlignment="1">
      <alignment/>
    </xf>
    <xf numFmtId="0" fontId="3" fillId="33" borderId="29" xfId="0" applyFont="1" applyFill="1" applyBorder="1" applyAlignment="1">
      <alignment horizontal="left" vertical="center"/>
    </xf>
    <xf numFmtId="49" fontId="3" fillId="33" borderId="29" xfId="0" applyNumberFormat="1" applyFont="1" applyFill="1" applyBorder="1" applyAlignment="1">
      <alignment horizontal="left" vertical="center"/>
    </xf>
    <xf numFmtId="0" fontId="8" fillId="33" borderId="39" xfId="0" applyFont="1" applyFill="1" applyBorder="1" applyAlignment="1">
      <alignment vertical="center"/>
    </xf>
    <xf numFmtId="0" fontId="8" fillId="0" borderId="40" xfId="0" applyFont="1" applyBorder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3" fontId="3" fillId="33" borderId="15" xfId="0" applyNumberFormat="1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3" fontId="3" fillId="35" borderId="41" xfId="0" applyNumberFormat="1" applyFont="1" applyFill="1" applyBorder="1" applyAlignment="1" applyProtection="1">
      <alignment horizontal="center" vertical="center"/>
      <protection/>
    </xf>
    <xf numFmtId="0" fontId="11" fillId="33" borderId="42" xfId="0" applyFont="1" applyFill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18" fillId="33" borderId="29" xfId="0" applyFont="1" applyFill="1" applyBorder="1" applyAlignment="1">
      <alignment horizontal="left" vertical="center"/>
    </xf>
    <xf numFmtId="0" fontId="18" fillId="34" borderId="29" xfId="0" applyFont="1" applyFill="1" applyBorder="1" applyAlignment="1">
      <alignment horizontal="left" vertical="center"/>
    </xf>
    <xf numFmtId="0" fontId="5" fillId="33" borderId="29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18" fillId="33" borderId="29" xfId="0" applyFont="1" applyFill="1" applyBorder="1" applyAlignment="1">
      <alignment horizontal="left"/>
    </xf>
    <xf numFmtId="0" fontId="3" fillId="33" borderId="29" xfId="0" applyNumberFormat="1" applyFont="1" applyFill="1" applyBorder="1" applyAlignment="1">
      <alignment horizontal="left" vertical="center"/>
    </xf>
    <xf numFmtId="0" fontId="3" fillId="33" borderId="29" xfId="0" applyNumberFormat="1" applyFont="1" applyFill="1" applyBorder="1" applyAlignment="1">
      <alignment horizontal="left"/>
    </xf>
    <xf numFmtId="0" fontId="0" fillId="33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3" fontId="4" fillId="33" borderId="43" xfId="0" applyNumberFormat="1" applyFont="1" applyFill="1" applyBorder="1" applyAlignment="1" applyProtection="1">
      <alignment horizontal="right" vertical="center"/>
      <protection/>
    </xf>
    <xf numFmtId="49" fontId="25" fillId="0" borderId="0" xfId="0" applyNumberFormat="1" applyFont="1" applyBorder="1" applyAlignment="1" applyProtection="1">
      <alignment/>
      <protection/>
    </xf>
    <xf numFmtId="3" fontId="4" fillId="33" borderId="32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9" fillId="0" borderId="44" xfId="0" applyFont="1" applyBorder="1" applyAlignment="1">
      <alignment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0" fontId="81" fillId="33" borderId="45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left"/>
    </xf>
    <xf numFmtId="0" fontId="6" fillId="33" borderId="29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11" fillId="33" borderId="46" xfId="0" applyFont="1" applyFill="1" applyBorder="1" applyAlignment="1">
      <alignment horizontal="center" vertical="center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4" fillId="33" borderId="47" xfId="0" applyFont="1" applyFill="1" applyBorder="1" applyAlignment="1">
      <alignment horizontal="left" vertical="center"/>
    </xf>
    <xf numFmtId="0" fontId="11" fillId="33" borderId="48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right" vertical="center"/>
    </xf>
    <xf numFmtId="3" fontId="4" fillId="33" borderId="49" xfId="0" applyNumberFormat="1" applyFont="1" applyFill="1" applyBorder="1" applyAlignment="1" applyProtection="1">
      <alignment horizontal="center" vertical="center"/>
      <protection locked="0"/>
    </xf>
    <xf numFmtId="3" fontId="4" fillId="33" borderId="21" xfId="0" applyNumberFormat="1" applyFont="1" applyFill="1" applyBorder="1" applyAlignment="1" applyProtection="1">
      <alignment horizontal="center" vertical="center"/>
      <protection/>
    </xf>
    <xf numFmtId="180" fontId="3" fillId="33" borderId="50" xfId="0" applyNumberFormat="1" applyFont="1" applyFill="1" applyBorder="1" applyAlignment="1" applyProtection="1">
      <alignment horizontal="center" vertical="center"/>
      <protection/>
    </xf>
    <xf numFmtId="0" fontId="82" fillId="0" borderId="0" xfId="0" applyFont="1" applyAlignment="1">
      <alignment/>
    </xf>
    <xf numFmtId="0" fontId="9" fillId="33" borderId="29" xfId="0" applyFont="1" applyFill="1" applyBorder="1" applyAlignment="1">
      <alignment horizontal="left" vertical="center"/>
    </xf>
    <xf numFmtId="3" fontId="4" fillId="0" borderId="21" xfId="0" applyNumberFormat="1" applyFont="1" applyFill="1" applyBorder="1" applyAlignment="1" applyProtection="1">
      <alignment horizontal="center" vertical="center"/>
      <protection/>
    </xf>
    <xf numFmtId="3" fontId="4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3" fontId="4" fillId="33" borderId="15" xfId="0" applyNumberFormat="1" applyFont="1" applyFill="1" applyBorder="1" applyAlignment="1" applyProtection="1">
      <alignment horizontal="center" vertical="center"/>
      <protection locked="0"/>
    </xf>
    <xf numFmtId="3" fontId="83" fillId="33" borderId="0" xfId="0" applyNumberFormat="1" applyFont="1" applyFill="1" applyAlignment="1">
      <alignment horizontal="center" vertical="center"/>
    </xf>
    <xf numFmtId="0" fontId="84" fillId="0" borderId="0" xfId="0" applyNumberFormat="1" applyFont="1" applyFill="1" applyBorder="1" applyAlignment="1" applyProtection="1">
      <alignment horizontal="center" vertical="center"/>
      <protection/>
    </xf>
    <xf numFmtId="0" fontId="85" fillId="0" borderId="0" xfId="0" applyFont="1" applyAlignment="1">
      <alignment/>
    </xf>
    <xf numFmtId="0" fontId="76" fillId="0" borderId="0" xfId="0" applyFont="1" applyFill="1" applyAlignment="1">
      <alignment/>
    </xf>
    <xf numFmtId="0" fontId="76" fillId="3" borderId="45" xfId="0" applyFont="1" applyFill="1" applyBorder="1" applyAlignment="1">
      <alignment/>
    </xf>
    <xf numFmtId="3" fontId="76" fillId="33" borderId="45" xfId="0" applyNumberFormat="1" applyFont="1" applyFill="1" applyBorder="1" applyAlignment="1">
      <alignment/>
    </xf>
    <xf numFmtId="0" fontId="76" fillId="0" borderId="0" xfId="0" applyNumberFormat="1" applyFont="1" applyFill="1" applyAlignment="1">
      <alignment/>
    </xf>
    <xf numFmtId="0" fontId="84" fillId="0" borderId="0" xfId="0" applyFont="1" applyAlignment="1">
      <alignment/>
    </xf>
    <xf numFmtId="0" fontId="76" fillId="0" borderId="0" xfId="0" applyFont="1" applyFill="1" applyAlignment="1">
      <alignment/>
    </xf>
    <xf numFmtId="0" fontId="0" fillId="0" borderId="40" xfId="0" applyFont="1" applyBorder="1" applyAlignment="1">
      <alignment/>
    </xf>
    <xf numFmtId="0" fontId="0" fillId="0" borderId="51" xfId="0" applyFont="1" applyBorder="1" applyAlignment="1">
      <alignment/>
    </xf>
    <xf numFmtId="49" fontId="25" fillId="0" borderId="0" xfId="0" applyNumberFormat="1" applyFont="1" applyBorder="1" applyAlignment="1">
      <alignment/>
    </xf>
    <xf numFmtId="3" fontId="3" fillId="35" borderId="21" xfId="0" applyNumberFormat="1" applyFont="1" applyFill="1" applyBorder="1" applyAlignment="1" applyProtection="1">
      <alignment horizontal="center" vertical="center"/>
      <protection/>
    </xf>
    <xf numFmtId="0" fontId="10" fillId="33" borderId="29" xfId="0" applyFont="1" applyFill="1" applyBorder="1" applyAlignment="1">
      <alignment horizontal="left" vertical="center"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13" xfId="0" applyFont="1" applyBorder="1" applyAlignment="1">
      <alignment/>
    </xf>
    <xf numFmtId="180" fontId="3" fillId="33" borderId="15" xfId="55" applyNumberFormat="1" applyFont="1" applyFill="1" applyBorder="1" applyAlignment="1" applyProtection="1">
      <alignment horizontal="center" vertical="center"/>
      <protection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/>
    </xf>
    <xf numFmtId="0" fontId="7" fillId="0" borderId="52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Стиль 2" xfId="58"/>
    <cellStyle name="Текст предупреждения" xfId="59"/>
    <cellStyle name="Comma" xfId="60"/>
    <cellStyle name="Comma [0]" xfId="61"/>
    <cellStyle name="Хороший" xfId="62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C00000"/>
      </font>
      <fill>
        <patternFill>
          <bgColor theme="5" tint="0.5999600291252136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C00000"/>
      </font>
      <fill>
        <patternFill>
          <bgColor theme="5" tint="0.3999499976634979"/>
        </patternFill>
      </fill>
      <border/>
    </dxf>
    <dxf>
      <font>
        <color rgb="FFFF0000"/>
      </font>
      <fill>
        <patternFill>
          <bgColor rgb="FFFF0000"/>
        </patternFill>
      </fill>
      <border/>
    </dxf>
    <dxf>
      <font>
        <color rgb="FF92D050"/>
      </font>
      <fill>
        <patternFill>
          <bgColor rgb="FF00B050"/>
        </patternFill>
      </fill>
      <border/>
    </dxf>
    <dxf>
      <font>
        <color theme="0"/>
      </font>
      <border/>
    </dxf>
    <dxf>
      <font>
        <color rgb="FFC00000"/>
      </font>
      <fill>
        <patternFill>
          <bgColor theme="5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5"/>
  <sheetViews>
    <sheetView tabSelected="1" zoomScale="80" zoomScaleNormal="80" zoomScaleSheetLayoutView="80" workbookViewId="0" topLeftCell="A1">
      <selection activeCell="D125" sqref="D125"/>
    </sheetView>
  </sheetViews>
  <sheetFormatPr defaultColWidth="8.875" defaultRowHeight="12.75"/>
  <cols>
    <col min="1" max="1" width="7.25390625" style="3" customWidth="1"/>
    <col min="2" max="2" width="84.75390625" style="9" customWidth="1"/>
    <col min="3" max="3" width="6.75390625" style="54" customWidth="1"/>
    <col min="4" max="4" width="9.125" style="37" customWidth="1"/>
    <col min="5" max="5" width="5.25390625" style="9" hidden="1" customWidth="1"/>
    <col min="6" max="6" width="12.75390625" style="64" customWidth="1"/>
    <col min="7" max="7" width="8.75390625" style="64" customWidth="1"/>
    <col min="8" max="9" width="8.75390625" style="9" customWidth="1"/>
    <col min="10" max="16384" width="8.875" style="9" customWidth="1"/>
  </cols>
  <sheetData>
    <row r="1" spans="2:4" ht="12.75">
      <c r="B1" s="1" t="s">
        <v>43</v>
      </c>
      <c r="D1" s="2" t="s">
        <v>44</v>
      </c>
    </row>
    <row r="2" spans="1:4" ht="12.75">
      <c r="A2" s="164">
        <f>E202</f>
        <v>129</v>
      </c>
      <c r="B2" s="1" t="s">
        <v>53</v>
      </c>
      <c r="C2" s="3"/>
      <c r="D2" s="4"/>
    </row>
    <row r="3" spans="2:4" ht="12.75">
      <c r="B3" s="5"/>
      <c r="C3" s="3"/>
      <c r="D3" s="4"/>
    </row>
    <row r="4" spans="1:4" ht="15.75">
      <c r="A4" s="184" t="s">
        <v>62</v>
      </c>
      <c r="B4" s="184"/>
      <c r="C4" s="184"/>
      <c r="D4" s="184"/>
    </row>
    <row r="5" spans="1:4" ht="15.75">
      <c r="A5" s="185" t="s">
        <v>63</v>
      </c>
      <c r="B5" s="185"/>
      <c r="C5" s="185"/>
      <c r="D5" s="185"/>
    </row>
    <row r="6" spans="1:4" ht="15.75">
      <c r="A6" s="186" t="s">
        <v>151</v>
      </c>
      <c r="B6" s="186"/>
      <c r="C6" s="186"/>
      <c r="D6" s="186"/>
    </row>
    <row r="7" spans="1:6" ht="48" customHeight="1">
      <c r="A7" s="49"/>
      <c r="B7" s="188" t="s">
        <v>223</v>
      </c>
      <c r="C7" s="188"/>
      <c r="D7" s="118"/>
      <c r="E7" s="6">
        <f>COUNTA(B7)</f>
        <v>1</v>
      </c>
      <c r="F7" s="65" t="str">
        <f>IF(E7=1," ","Не заполнено")</f>
        <v> </v>
      </c>
    </row>
    <row r="8" spans="1:6" ht="13.5" thickBot="1">
      <c r="A8" s="187" t="s">
        <v>47</v>
      </c>
      <c r="B8" s="187"/>
      <c r="C8" s="187"/>
      <c r="D8" s="187"/>
      <c r="F8" s="65"/>
    </row>
    <row r="9" spans="1:9" ht="18.75">
      <c r="A9" s="103" t="s">
        <v>0</v>
      </c>
      <c r="B9" s="104" t="s">
        <v>189</v>
      </c>
      <c r="C9" s="173"/>
      <c r="D9" s="129" t="str">
        <f>LEFT(B7,14)</f>
        <v>Курманаевская </v>
      </c>
      <c r="F9" s="65"/>
      <c r="I9" s="64"/>
    </row>
    <row r="10" spans="1:6" ht="16.5" thickBot="1">
      <c r="A10" s="119" t="s">
        <v>1</v>
      </c>
      <c r="B10" s="105" t="s">
        <v>116</v>
      </c>
      <c r="C10" s="174"/>
      <c r="D10" s="84" t="s">
        <v>25</v>
      </c>
      <c r="F10" s="65"/>
    </row>
    <row r="11" spans="1:6" ht="16.5" thickBot="1">
      <c r="A11" s="50"/>
      <c r="B11" s="105" t="s">
        <v>117</v>
      </c>
      <c r="C11" s="148" t="s">
        <v>2</v>
      </c>
      <c r="D11" s="19">
        <f>D12+D13+D14+D16</f>
        <v>18</v>
      </c>
      <c r="E11" s="6"/>
      <c r="F11" s="65"/>
    </row>
    <row r="12" spans="1:10" ht="17.25" thickBot="1">
      <c r="A12" s="95" t="s">
        <v>3</v>
      </c>
      <c r="B12" s="94" t="s">
        <v>219</v>
      </c>
      <c r="C12" s="7"/>
      <c r="D12" s="43">
        <v>9</v>
      </c>
      <c r="E12" s="6">
        <f>COUNTA(D12)</f>
        <v>1</v>
      </c>
      <c r="F12" s="65" t="str">
        <f>IF(E12=1," ","Не заполнено")</f>
        <v> </v>
      </c>
      <c r="G12" s="64">
        <f>IF(D12-D19&gt;=0,,"'НЕПРАВИЛЬНО! п.п.1.1.1. не может быть меньше п.п.1.2.1.!")</f>
        <v>0</v>
      </c>
      <c r="I12" s="111"/>
      <c r="J12"/>
    </row>
    <row r="13" spans="1:10" ht="17.25" thickBot="1">
      <c r="A13" s="95" t="s">
        <v>4</v>
      </c>
      <c r="B13" s="94" t="s">
        <v>190</v>
      </c>
      <c r="C13" s="7"/>
      <c r="D13" s="43">
        <v>7</v>
      </c>
      <c r="E13" s="6">
        <f>COUNTA(D13)</f>
        <v>1</v>
      </c>
      <c r="F13" s="65" t="str">
        <f>IF(E13=1," ","Не заполнено")</f>
        <v> </v>
      </c>
      <c r="G13" s="64">
        <f>IF(D13-D26&gt;=0,,"'НЕПРАВИЛЬНО! п.п.1.1.2. не может быть меньше п.п.1.2.2.!")</f>
        <v>0</v>
      </c>
      <c r="I13" s="111"/>
      <c r="J13"/>
    </row>
    <row r="14" spans="1:10" ht="17.25" thickBot="1">
      <c r="A14" s="95" t="s">
        <v>5</v>
      </c>
      <c r="B14" s="94" t="s">
        <v>203</v>
      </c>
      <c r="C14" s="7"/>
      <c r="D14" s="43">
        <v>0</v>
      </c>
      <c r="E14" s="6">
        <f>COUNTA(D14)</f>
        <v>1</v>
      </c>
      <c r="F14" s="65" t="str">
        <f>IF(E14=1," ","Не заполнено")</f>
        <v> </v>
      </c>
      <c r="G14" s="64">
        <f>IF(D14-D30&gt;=0,,"'НЕПРАВИЛЬНО! п.п.1.1.3. не может быть меньше п.п.1.2.3.!")</f>
        <v>0</v>
      </c>
      <c r="I14" s="64"/>
      <c r="J14"/>
    </row>
    <row r="15" spans="1:10" ht="15.75" thickBot="1">
      <c r="A15" s="51"/>
      <c r="B15" s="144" t="s">
        <v>49</v>
      </c>
      <c r="C15" s="7"/>
      <c r="D15" s="43">
        <v>0</v>
      </c>
      <c r="E15" s="6">
        <f>COUNTA(D15)</f>
        <v>1</v>
      </c>
      <c r="F15" s="65" t="str">
        <f>IF(E15=1," ","Не заполнено")</f>
        <v> </v>
      </c>
      <c r="G15" s="64">
        <f>IF(D15-D35&gt;=0,,"'НЕПРАВИЛЬНО! п.п.1.1.3. в т.ч. не может быть меньше п.п.1.2.3. в т.ч.!")</f>
        <v>0</v>
      </c>
      <c r="J15"/>
    </row>
    <row r="16" spans="1:10" ht="17.25" thickBot="1">
      <c r="A16" s="95" t="s">
        <v>48</v>
      </c>
      <c r="B16" s="94" t="s">
        <v>171</v>
      </c>
      <c r="C16" s="7"/>
      <c r="D16" s="43">
        <v>2</v>
      </c>
      <c r="E16" s="6">
        <f>COUNTA(D16)</f>
        <v>1</v>
      </c>
      <c r="F16" s="65" t="str">
        <f>IF(E16=1," ","Не заполнено")</f>
        <v> </v>
      </c>
      <c r="G16" s="64">
        <f>IF(D16-D40&gt;=0,,"'НЕПРАВИЛЬНО! п.п.1.1.4. не может быть меньше п.п.1.2.4.!")</f>
        <v>0</v>
      </c>
      <c r="J16"/>
    </row>
    <row r="17" spans="1:9" ht="17.25" customHeight="1" thickBot="1">
      <c r="A17" s="120" t="s">
        <v>6</v>
      </c>
      <c r="B17" s="105" t="s">
        <v>173</v>
      </c>
      <c r="C17" s="71"/>
      <c r="D17" s="84" t="s">
        <v>25</v>
      </c>
      <c r="E17" s="6"/>
      <c r="F17" s="65"/>
      <c r="I17" s="64"/>
    </row>
    <row r="18" spans="1:6" ht="18" customHeight="1" thickBot="1">
      <c r="A18" s="52"/>
      <c r="B18" s="105" t="s">
        <v>128</v>
      </c>
      <c r="C18" s="68"/>
      <c r="D18" s="69">
        <f>D19+D26+D30+D40+D44</f>
        <v>19</v>
      </c>
      <c r="E18" s="6"/>
      <c r="F18" s="65"/>
    </row>
    <row r="19" spans="1:10" ht="17.25" thickBot="1">
      <c r="A19" s="95" t="s">
        <v>110</v>
      </c>
      <c r="B19" s="94" t="s">
        <v>220</v>
      </c>
      <c r="C19" s="7"/>
      <c r="D19" s="43">
        <v>9</v>
      </c>
      <c r="E19" s="6">
        <f aca="true" t="shared" si="0" ref="E19:E30">COUNTA(D19)</f>
        <v>1</v>
      </c>
      <c r="F19" s="65" t="str">
        <f aca="true" t="shared" si="1" ref="F19:F47">IF(E19=1," ","Не заполнено")</f>
        <v> </v>
      </c>
      <c r="G19" s="64">
        <f>IF(D19-D12&lt;=0,,"'НЕПРАВИЛЬНО! п.п.1.2.1. не может быть больше п.п.1.1.1.!")</f>
        <v>0</v>
      </c>
      <c r="J19"/>
    </row>
    <row r="20" spans="1:10" ht="15">
      <c r="A20" s="51"/>
      <c r="B20" s="8" t="s">
        <v>215</v>
      </c>
      <c r="C20" s="57"/>
      <c r="D20" s="44">
        <v>398</v>
      </c>
      <c r="E20" s="6">
        <f t="shared" si="0"/>
        <v>1</v>
      </c>
      <c r="F20" s="65" t="str">
        <f t="shared" si="1"/>
        <v> </v>
      </c>
      <c r="G20" s="64">
        <f>IF(D20-D58&gt;=0,,"'НЕПРАВИЛЬНО! п.п.1.2.1. (в них: работающих) не может быть меньше п.п.2.1.3. (в них: чл. Профсоюза)!")</f>
        <v>0</v>
      </c>
      <c r="I20" s="111"/>
      <c r="J20"/>
    </row>
    <row r="21" spans="1:10" ht="15">
      <c r="A21" s="51"/>
      <c r="B21" s="8" t="s">
        <v>216</v>
      </c>
      <c r="C21" s="58"/>
      <c r="D21" s="45">
        <v>223</v>
      </c>
      <c r="E21" s="6">
        <f t="shared" si="0"/>
        <v>1</v>
      </c>
      <c r="F21" s="65" t="str">
        <f t="shared" si="1"/>
        <v> </v>
      </c>
      <c r="G21" s="64">
        <f>IF(D21-D59&gt;=0,,"'НЕПРАВИЛЬНО! п.п.1.2.1. (в т.ч.: пед. работников) не может быть меньше п.п.2.1.3. (в т.ч.: пед. работников)!")</f>
        <v>0</v>
      </c>
      <c r="I21" s="111"/>
      <c r="J21"/>
    </row>
    <row r="22" spans="1:10" ht="15">
      <c r="A22" s="51"/>
      <c r="B22" s="8" t="s">
        <v>217</v>
      </c>
      <c r="C22" s="58"/>
      <c r="D22" s="45">
        <v>14</v>
      </c>
      <c r="E22" s="6">
        <f t="shared" si="0"/>
        <v>1</v>
      </c>
      <c r="F22" s="65" t="str">
        <f t="shared" si="1"/>
        <v> </v>
      </c>
      <c r="G22" s="64">
        <f>IF(D22-D60&gt;=0,,"'НЕПРАВИЛЬНО! п.п.1.2.1. (из них: молодежи из пед. раб.) не может быть меньше п.п.2.1.3.  (из них: молодежи из пед. раб.)!")</f>
        <v>0</v>
      </c>
      <c r="I22" s="111"/>
      <c r="J22"/>
    </row>
    <row r="23" spans="1:10" ht="15">
      <c r="A23" s="95" t="s">
        <v>174</v>
      </c>
      <c r="B23" s="133" t="s">
        <v>191</v>
      </c>
      <c r="C23" s="56"/>
      <c r="D23" s="45">
        <v>34</v>
      </c>
      <c r="E23" s="6">
        <f t="shared" si="0"/>
        <v>1</v>
      </c>
      <c r="F23" s="65" t="str">
        <f>IF(E23=1," ","Не заполнено")</f>
        <v> </v>
      </c>
      <c r="G23" s="64">
        <f>IF(D23-D61&gt;=0,,"'НЕПРАВИЛЬНО! п.п.1.2.1.1. (из общ. числа раб.: - раб. дошк. обр.) не может быть меньше п.п.2.1.3.1.  (из общ. числа раб.: - раб. дошк. обр.)!")</f>
        <v>0</v>
      </c>
      <c r="I23" s="111"/>
      <c r="J23"/>
    </row>
    <row r="24" spans="1:10" ht="15">
      <c r="A24" s="51"/>
      <c r="B24" s="133" t="s">
        <v>109</v>
      </c>
      <c r="C24" s="56"/>
      <c r="D24" s="45">
        <v>16</v>
      </c>
      <c r="E24" s="6">
        <f t="shared" si="0"/>
        <v>1</v>
      </c>
      <c r="F24" s="65" t="str">
        <f>IF(E24=1," ","Не заполнено")</f>
        <v> </v>
      </c>
      <c r="G24" s="64">
        <f>IF(D24-D62&gt;=0,,"'НЕПРАВИЛЬНО! п.п.1.2.1.1. (в т.ч.: педагог. раб.) не может быть меньше п.п.2.1.3.1. (в т.ч.: педагог. раб.)!")</f>
        <v>0</v>
      </c>
      <c r="I24" s="111"/>
      <c r="J24"/>
    </row>
    <row r="25" spans="1:10" ht="15.75" thickBot="1">
      <c r="A25" s="51"/>
      <c r="B25" s="8" t="s">
        <v>107</v>
      </c>
      <c r="C25" s="56"/>
      <c r="D25" s="153">
        <v>5</v>
      </c>
      <c r="E25" s="6">
        <f t="shared" si="0"/>
        <v>1</v>
      </c>
      <c r="F25" s="65" t="str">
        <f>IF(E25=1," ","Не заполнено")</f>
        <v> </v>
      </c>
      <c r="G25" s="64">
        <f>IF(D25-D63&gt;=0,,"'НЕПРАВИЛЬНО! п.п.1.2.1.1. (из них: молодежи из пед. раб.) не может быть меньше п.п.2.1.3.1.  (из них: молодежи из пед. раб.)!")</f>
        <v>0</v>
      </c>
      <c r="I25" s="111"/>
      <c r="J25"/>
    </row>
    <row r="26" spans="1:10" ht="17.25" thickBot="1">
      <c r="A26" s="95" t="s">
        <v>111</v>
      </c>
      <c r="B26" s="94" t="s">
        <v>192</v>
      </c>
      <c r="C26" s="7"/>
      <c r="D26" s="43">
        <v>7</v>
      </c>
      <c r="E26" s="6">
        <f t="shared" si="0"/>
        <v>1</v>
      </c>
      <c r="F26" s="65" t="str">
        <f t="shared" si="1"/>
        <v> </v>
      </c>
      <c r="G26" s="64">
        <f>IF(D26-D13&lt;=0,,"'НЕПРАВИЛЬНО! п.п.1.2.2. не может быть больше п.п.1.1.2.!")</f>
        <v>0</v>
      </c>
      <c r="I26" s="111"/>
      <c r="J26"/>
    </row>
    <row r="27" spans="1:10" ht="15">
      <c r="A27" s="51"/>
      <c r="B27" s="8" t="s">
        <v>152</v>
      </c>
      <c r="C27" s="56"/>
      <c r="D27" s="44">
        <v>98</v>
      </c>
      <c r="E27" s="6">
        <f t="shared" si="0"/>
        <v>1</v>
      </c>
      <c r="F27" s="65" t="str">
        <f t="shared" si="1"/>
        <v> </v>
      </c>
      <c r="G27" s="64">
        <f>IF(D27-D65&gt;=0,,"'НЕПРАВИЛЬНО! п.п.1.2.2. (в них: работающих) не может быть меньше п.п.2.1.4. (в них: чл. Профсоюза)!")</f>
        <v>0</v>
      </c>
      <c r="J27"/>
    </row>
    <row r="28" spans="1:10" ht="15">
      <c r="A28" s="51"/>
      <c r="B28" s="8" t="s">
        <v>109</v>
      </c>
      <c r="C28" s="58"/>
      <c r="D28" s="45">
        <v>42</v>
      </c>
      <c r="E28" s="6">
        <f t="shared" si="0"/>
        <v>1</v>
      </c>
      <c r="F28" s="65" t="str">
        <f t="shared" si="1"/>
        <v> </v>
      </c>
      <c r="G28" s="64">
        <f>IF(D28-D66&gt;=0,,"'НЕПРАВИЛЬНО! п.п.1.2.2. (в т.ч.: пед. работников) не может быть меньше п.п.2.1.4. (в т.ч.: пед. работников)!")</f>
        <v>0</v>
      </c>
      <c r="J28"/>
    </row>
    <row r="29" spans="1:10" ht="15.75" thickBot="1">
      <c r="A29" s="51"/>
      <c r="B29" s="8" t="s">
        <v>107</v>
      </c>
      <c r="C29" s="58"/>
      <c r="D29" s="46">
        <v>10</v>
      </c>
      <c r="E29" s="6">
        <f t="shared" si="0"/>
        <v>1</v>
      </c>
      <c r="F29" s="65" t="str">
        <f t="shared" si="1"/>
        <v> </v>
      </c>
      <c r="G29" s="64">
        <f>IF(D29-D67&gt;=0,,"'НЕПРАВИЛЬНО! п.п.1.2.2. (из них: молодежи из пед. раб.) не может быть меньше п.п.2.1.4. (из них: молодежи из пед. раб.)!")</f>
        <v>0</v>
      </c>
      <c r="J29"/>
    </row>
    <row r="30" spans="1:10" ht="17.25" thickBot="1">
      <c r="A30" s="95" t="s">
        <v>112</v>
      </c>
      <c r="B30" s="12" t="s">
        <v>221</v>
      </c>
      <c r="C30" s="113"/>
      <c r="D30" s="43">
        <v>0</v>
      </c>
      <c r="E30" s="6">
        <f t="shared" si="0"/>
        <v>1</v>
      </c>
      <c r="F30" s="65" t="str">
        <f t="shared" si="1"/>
        <v> </v>
      </c>
      <c r="G30" s="64">
        <f>IF(D30-D14&lt;=0,,"'НЕПРАВИЛЬНО! п.п.1.2.3. не может быть больше п.п.1.1.3. !")</f>
        <v>0</v>
      </c>
      <c r="I30" s="64"/>
      <c r="J30"/>
    </row>
    <row r="31" spans="1:10" ht="15">
      <c r="A31" s="95"/>
      <c r="B31" s="133" t="s">
        <v>153</v>
      </c>
      <c r="C31" s="114"/>
      <c r="D31" s="45">
        <v>0</v>
      </c>
      <c r="E31" s="6">
        <f aca="true" t="shared" si="2" ref="E31:E39">COUNTA(D31)</f>
        <v>1</v>
      </c>
      <c r="F31" s="65" t="str">
        <f t="shared" si="1"/>
        <v> </v>
      </c>
      <c r="G31" s="64">
        <f>IF(D31-(D71+D76)&gt;=0,,"'НЕПРАВИЛЬНО! п.п.1.2.3. (в них: работающих) не может быть меньше суммы ((п.п.2.1.5. а) (в них: чл.Профсоюза работающих)+п.п.2.1.5. б) (в них: чл. Профсоюза))!")</f>
        <v>0</v>
      </c>
      <c r="J31"/>
    </row>
    <row r="32" spans="1:10" ht="15">
      <c r="A32" s="95"/>
      <c r="B32" s="133" t="s">
        <v>109</v>
      </c>
      <c r="C32" s="114"/>
      <c r="D32" s="45">
        <v>0</v>
      </c>
      <c r="E32" s="6">
        <f t="shared" si="2"/>
        <v>1</v>
      </c>
      <c r="F32" s="65" t="str">
        <f t="shared" si="1"/>
        <v> </v>
      </c>
      <c r="G32" s="64">
        <f>IF(D32-(D72+D77)&gt;=0,,"'НЕПРАВИЛЬНО! п.п.1.2.3. (в т.ч.: пед. работников) не может быть меньше суммы ((п.п.2.1.5. а) (в т.ч.: пед. работников)+п.п.2.1.5. б) (в т.ч.: пед. работников))!")</f>
        <v>0</v>
      </c>
      <c r="J32"/>
    </row>
    <row r="33" spans="1:10" ht="15">
      <c r="A33" s="95"/>
      <c r="B33" s="8" t="s">
        <v>107</v>
      </c>
      <c r="C33" s="114"/>
      <c r="D33" s="45">
        <v>0</v>
      </c>
      <c r="E33" s="6">
        <f t="shared" si="2"/>
        <v>1</v>
      </c>
      <c r="F33" s="65" t="str">
        <f t="shared" si="1"/>
        <v> </v>
      </c>
      <c r="G33" s="64">
        <f>IF(D33-(D73+D78)&gt;=0,,"'НЕПРАВИЛЬНО! п.п.1.2.3. (из них: молодежи из пед. раб.) не может быть меньше суммы ((п.п.2.1.5. а) (из них: молодежи из пед. раб.)+п.п.2.1.5. б) (из них: молодежи из пед.раб.))!")</f>
        <v>0</v>
      </c>
      <c r="J33"/>
    </row>
    <row r="34" spans="1:10" ht="15.75" thickBot="1">
      <c r="A34" s="95"/>
      <c r="B34" s="133" t="s">
        <v>129</v>
      </c>
      <c r="C34" s="114"/>
      <c r="D34" s="45">
        <v>0</v>
      </c>
      <c r="E34" s="6">
        <f t="shared" si="2"/>
        <v>1</v>
      </c>
      <c r="F34" s="65" t="str">
        <f t="shared" si="1"/>
        <v> </v>
      </c>
      <c r="G34" s="64">
        <f>IF(D34-(D74+D80)&gt;=0,,"'НЕПРАВИЛЬНО! п.п.1.2.3. (в них: обуч.) не может быть меньше суммы ((п.п.2.1.5. а) (в них: обуч.)+п.п.2.1.5. в) (в них: чл. Профсоюза))!")</f>
        <v>0</v>
      </c>
      <c r="J34"/>
    </row>
    <row r="35" spans="1:10" ht="15.75" thickBot="1">
      <c r="A35" s="145" t="s">
        <v>65</v>
      </c>
      <c r="B35" s="146" t="s">
        <v>66</v>
      </c>
      <c r="C35" s="7"/>
      <c r="D35" s="43">
        <v>0</v>
      </c>
      <c r="E35" s="6">
        <f t="shared" si="2"/>
        <v>1</v>
      </c>
      <c r="F35" s="65" t="str">
        <f>IF(E35=1," ","Не заполнено")</f>
        <v> </v>
      </c>
      <c r="G35" s="64">
        <f>IF(D35-D15&lt;=0,,"'НЕПРАВИЛЬНО! п.п.1.2.3. в т.ч. не может быть больше п.п.1.1.3. в т.ч. !")</f>
        <v>0</v>
      </c>
      <c r="J35"/>
    </row>
    <row r="36" spans="1:10" ht="15">
      <c r="A36" s="51"/>
      <c r="B36" s="27" t="s">
        <v>154</v>
      </c>
      <c r="C36" s="56"/>
      <c r="D36" s="44">
        <v>0</v>
      </c>
      <c r="E36" s="6">
        <f t="shared" si="2"/>
        <v>1</v>
      </c>
      <c r="F36" s="65" t="str">
        <f>IF(E36=1," ","Не заполнено")</f>
        <v> </v>
      </c>
      <c r="G36" s="64">
        <f>IF(D36-(D84+D89)&gt;=0,,"'НЕПРАВИЛЬНО! п.п.1.2.3. (в них: работающих) не может быть меньше суммы ((п.п.2.1.5. а) (в них: чл. Профсоюза работающих)+п.п.2.1.5. б) (в них: чл. Профсоюза))!")</f>
        <v>0</v>
      </c>
      <c r="J36"/>
    </row>
    <row r="37" spans="1:10" ht="15">
      <c r="A37" s="51"/>
      <c r="B37" s="27" t="s">
        <v>109</v>
      </c>
      <c r="C37" s="56"/>
      <c r="D37" s="45">
        <v>0</v>
      </c>
      <c r="E37" s="6">
        <f t="shared" si="2"/>
        <v>1</v>
      </c>
      <c r="F37" s="65" t="str">
        <f>IF(E37=1," ","Не заполнено")</f>
        <v> </v>
      </c>
      <c r="G37" s="64">
        <f>IF(D37-(D85+D90)&gt;=0,,"'НЕПРАВИЛЬНО! п.п.1.2.3. (в т.ч. пед. работников) не может быть меньше суммы ((п.п.2.1.5. а) (в т.ч. пед. работников)+п.п.2.1.5. б) (в т.ч. пед. работников))!")</f>
        <v>0</v>
      </c>
      <c r="J37"/>
    </row>
    <row r="38" spans="1:10" ht="15">
      <c r="A38" s="51"/>
      <c r="B38" s="8" t="s">
        <v>107</v>
      </c>
      <c r="C38" s="56"/>
      <c r="D38" s="46">
        <v>0</v>
      </c>
      <c r="E38" s="6">
        <f t="shared" si="2"/>
        <v>1</v>
      </c>
      <c r="F38" s="65" t="str">
        <f>IF(E38=1," ","Не заполнено")</f>
        <v> </v>
      </c>
      <c r="G38" s="64">
        <f>IF(D38-(D86+D91)&gt;=0,,"'НЕПРАВИЛЬНО! п.п.1.2.3. (из них: молодежи из пед. раб.) не может быть меньше суммы ((п.п.2.1.5. а) из них: молодежи из пед. раб.)+п.п.2.1.5. б) (из них: молодежи из пед.раб.))!")</f>
        <v>0</v>
      </c>
      <c r="J38"/>
    </row>
    <row r="39" spans="1:10" ht="15.75" thickBot="1">
      <c r="A39" s="95"/>
      <c r="B39" s="32" t="s">
        <v>130</v>
      </c>
      <c r="C39" s="57"/>
      <c r="D39" s="46">
        <v>0</v>
      </c>
      <c r="E39" s="6">
        <f t="shared" si="2"/>
        <v>1</v>
      </c>
      <c r="F39" s="65" t="str">
        <f>IF(E39=1," ","Не заполнено")</f>
        <v> </v>
      </c>
      <c r="G39" s="64">
        <f>IF(D39-(D87+D93)&gt;=0,,"'НЕПРАВИЛЬНО! п.п.1.2.3. (в них: обуч.) не может быть меньше суммы ((п.п.2.1.5. а) (в них: обуч.)+п.п.2.1.5. в) (в них: чл. Профсоюза))!")</f>
        <v>0</v>
      </c>
      <c r="J39"/>
    </row>
    <row r="40" spans="1:10" ht="17.25" thickBot="1">
      <c r="A40" s="95" t="s">
        <v>113</v>
      </c>
      <c r="B40" s="94" t="s">
        <v>146</v>
      </c>
      <c r="C40" s="7"/>
      <c r="D40" s="43">
        <v>2</v>
      </c>
      <c r="E40" s="6">
        <f aca="true" t="shared" si="3" ref="E40:E47">COUNTA(D40)</f>
        <v>1</v>
      </c>
      <c r="F40" s="65" t="str">
        <f t="shared" si="1"/>
        <v> </v>
      </c>
      <c r="G40" s="64">
        <f>IF(D40-D16&lt;=0,,"'НЕПРАВИЛЬНО! п.п.1.2.4. не может быть больше п.п.1.1.4. !")</f>
        <v>0</v>
      </c>
      <c r="J40"/>
    </row>
    <row r="41" spans="1:10" ht="15">
      <c r="A41" s="51"/>
      <c r="B41" s="8" t="s">
        <v>152</v>
      </c>
      <c r="C41" s="56"/>
      <c r="D41" s="44">
        <v>30</v>
      </c>
      <c r="E41" s="6">
        <f t="shared" si="3"/>
        <v>1</v>
      </c>
      <c r="F41" s="65" t="str">
        <f t="shared" si="1"/>
        <v> </v>
      </c>
      <c r="G41" s="64">
        <f>IF(D41-D95&gt;=0,,"'НЕПРАВИЛЬНО! п.п.1.2.5. (в них: работающих) не может быть меньше п.п.2.1.6. (в них: чл. Профсоюза)!")</f>
        <v>0</v>
      </c>
      <c r="J41"/>
    </row>
    <row r="42" spans="1:10" ht="15">
      <c r="A42" s="51"/>
      <c r="B42" s="8" t="s">
        <v>109</v>
      </c>
      <c r="C42" s="56"/>
      <c r="D42" s="45">
        <v>18</v>
      </c>
      <c r="E42" s="6">
        <f t="shared" si="3"/>
        <v>1</v>
      </c>
      <c r="F42" s="65" t="str">
        <f t="shared" si="1"/>
        <v> </v>
      </c>
      <c r="G42" s="64">
        <f>IF(D42-D96&gt;=0,,"'НЕПРАВИЛЬНО! п.п.1.2.4. (в т.ч.: пед. работников) не может быть меньше п.п.2.1.6. (в т.ч.: пед. работников)!")</f>
        <v>0</v>
      </c>
      <c r="J42"/>
    </row>
    <row r="43" spans="1:10" ht="15.75" thickBot="1">
      <c r="A43" s="51"/>
      <c r="B43" s="8" t="s">
        <v>107</v>
      </c>
      <c r="C43" s="56"/>
      <c r="D43" s="46">
        <v>0</v>
      </c>
      <c r="E43" s="6">
        <f t="shared" si="3"/>
        <v>1</v>
      </c>
      <c r="F43" s="65" t="str">
        <f t="shared" si="1"/>
        <v> </v>
      </c>
      <c r="G43" s="64">
        <f>IF(D43-D97&gt;=0,,"'НЕПРАВИЛЬНО! п.п.1.2.4. (из них: молодежи из пед. раб.) не может быть меньше п.п.2.1.6. (из них: молодежи из пед. раб.)!")</f>
        <v>0</v>
      </c>
      <c r="J43"/>
    </row>
    <row r="44" spans="1:7" s="11" customFormat="1" ht="15" customHeight="1" thickBot="1">
      <c r="A44" s="95" t="s">
        <v>7</v>
      </c>
      <c r="B44" s="94" t="s">
        <v>131</v>
      </c>
      <c r="C44" s="13"/>
      <c r="D44" s="43">
        <v>1</v>
      </c>
      <c r="E44" s="6">
        <f t="shared" si="3"/>
        <v>1</v>
      </c>
      <c r="F44" s="65" t="str">
        <f t="shared" si="1"/>
        <v> </v>
      </c>
      <c r="G44" s="166"/>
    </row>
    <row r="45" spans="1:10" ht="15">
      <c r="A45" s="51"/>
      <c r="B45" s="8" t="s">
        <v>155</v>
      </c>
      <c r="C45" s="59"/>
      <c r="D45" s="42">
        <v>23</v>
      </c>
      <c r="E45" s="6">
        <f t="shared" si="3"/>
        <v>1</v>
      </c>
      <c r="F45" s="65" t="str">
        <f t="shared" si="1"/>
        <v> </v>
      </c>
      <c r="G45" s="64">
        <f>IF(D45-D99&gt;=0,,"'НЕПРАВИЛЬНО! п.п.1.2.5. (в них: работающих) не может быть меньше п.п.2.1.7. (в них: чл. Профсоюза работающих)!")</f>
        <v>0</v>
      </c>
      <c r="J45"/>
    </row>
    <row r="46" spans="1:10" ht="15">
      <c r="A46" s="51"/>
      <c r="B46" s="8" t="s">
        <v>109</v>
      </c>
      <c r="C46" s="126"/>
      <c r="D46" s="38">
        <v>8</v>
      </c>
      <c r="E46" s="6">
        <f t="shared" si="3"/>
        <v>1</v>
      </c>
      <c r="F46" s="65" t="str">
        <f t="shared" si="1"/>
        <v> </v>
      </c>
      <c r="G46" s="64">
        <f>IF(D46-D100&gt;=0,,"'НЕПРАВИЛЬНО! п.п.1.2.5. (в т.ч.: пед. работников) не может быть меньше п.п.2.1.7. (в т.ч.: пед. работников)!")</f>
        <v>0</v>
      </c>
      <c r="I46"/>
      <c r="J46"/>
    </row>
    <row r="47" spans="1:10" ht="15.75" thickBot="1">
      <c r="A47" s="51"/>
      <c r="B47" s="8" t="s">
        <v>107</v>
      </c>
      <c r="C47" s="126"/>
      <c r="D47" s="39">
        <v>2</v>
      </c>
      <c r="E47" s="6">
        <f t="shared" si="3"/>
        <v>1</v>
      </c>
      <c r="F47" s="65" t="str">
        <f t="shared" si="1"/>
        <v> </v>
      </c>
      <c r="G47" s="64">
        <f>IF(D47-D101&gt;=0,,"'НЕПРАВИЛЬНО! п.п.1.2.5. (из них: молодежи из пед. раб.) не может быть меньше п.п.2.1.7. (из них: молодежи из пед. раб.)!")</f>
        <v>0</v>
      </c>
      <c r="I47"/>
      <c r="J47"/>
    </row>
    <row r="48" spans="1:6" ht="15.75" customHeight="1" thickBot="1">
      <c r="A48" s="119" t="s">
        <v>114</v>
      </c>
      <c r="B48" s="94" t="s">
        <v>205</v>
      </c>
      <c r="C48" s="117" t="s">
        <v>30</v>
      </c>
      <c r="D48" s="19">
        <f>D20+D27+D31+D41+D45</f>
        <v>549</v>
      </c>
      <c r="E48" s="6"/>
      <c r="F48" s="65"/>
    </row>
    <row r="49" spans="1:6" ht="13.5" customHeight="1">
      <c r="A49" s="95"/>
      <c r="B49" s="8" t="s">
        <v>166</v>
      </c>
      <c r="C49" s="56"/>
      <c r="D49" s="35">
        <f>D21+D28+D32+D42+D46</f>
        <v>291</v>
      </c>
      <c r="E49" s="6"/>
      <c r="F49" s="65"/>
    </row>
    <row r="50" spans="1:6" ht="13.5" customHeight="1" thickBot="1">
      <c r="A50" s="95"/>
      <c r="B50" s="8" t="s">
        <v>107</v>
      </c>
      <c r="C50" s="55"/>
      <c r="D50" s="154">
        <f>D22+D29+D33+D43+D47</f>
        <v>26</v>
      </c>
      <c r="E50" s="6"/>
      <c r="F50" s="65"/>
    </row>
    <row r="51" spans="1:6" ht="15" customHeight="1" thickBot="1">
      <c r="A51" s="123" t="s">
        <v>115</v>
      </c>
      <c r="B51" s="105" t="s">
        <v>204</v>
      </c>
      <c r="C51" s="55"/>
      <c r="D51" s="19">
        <f>D34</f>
        <v>0</v>
      </c>
      <c r="F51" s="65"/>
    </row>
    <row r="52" spans="1:6" ht="19.5" thickBot="1">
      <c r="A52" s="103" t="s">
        <v>8</v>
      </c>
      <c r="B52" s="104" t="s">
        <v>9</v>
      </c>
      <c r="C52" s="97"/>
      <c r="D52" s="81" t="s">
        <v>25</v>
      </c>
      <c r="F52" s="65"/>
    </row>
    <row r="53" spans="1:10" ht="16.5" thickBot="1">
      <c r="A53" s="121" t="s">
        <v>118</v>
      </c>
      <c r="B53" s="105" t="s">
        <v>208</v>
      </c>
      <c r="C53" s="47" t="s">
        <v>2</v>
      </c>
      <c r="D53" s="19">
        <f>D57+D64+D68+D94+D98</f>
        <v>19</v>
      </c>
      <c r="F53" s="65"/>
      <c r="G53" s="167">
        <f>IF(D53-D151=0,,"'НЕПРАВИЛЬНО! НЕ РАВНО п.п.3.1.1.1.!")</f>
        <v>0</v>
      </c>
      <c r="J53"/>
    </row>
    <row r="54" spans="1:7" s="74" customFormat="1" ht="15">
      <c r="A54" s="95" t="s">
        <v>10</v>
      </c>
      <c r="B54" s="8" t="s">
        <v>156</v>
      </c>
      <c r="C54" s="77"/>
      <c r="D54" s="41">
        <v>0</v>
      </c>
      <c r="E54" s="73">
        <f aca="true" t="shared" si="4" ref="E54:E67">COUNTA(D54)</f>
        <v>1</v>
      </c>
      <c r="F54" s="65" t="str">
        <f aca="true" t="shared" si="5" ref="F54:F67">IF(E54=1," ","Не заполнено")</f>
        <v> </v>
      </c>
      <c r="G54" s="167">
        <f>IF(D54-D159=0,,"'НЕПРАВИЛЬНО! НЕ РАВНО п.п.3.1.1.7.!")</f>
        <v>0</v>
      </c>
    </row>
    <row r="55" spans="1:7" s="74" customFormat="1" ht="15.75" thickBot="1">
      <c r="A55" s="72"/>
      <c r="B55" s="133" t="s">
        <v>157</v>
      </c>
      <c r="C55" s="77"/>
      <c r="D55" s="39">
        <v>0</v>
      </c>
      <c r="E55" s="73">
        <f t="shared" si="4"/>
        <v>1</v>
      </c>
      <c r="F55" s="65" t="str">
        <f t="shared" si="5"/>
        <v> </v>
      </c>
      <c r="G55" s="167">
        <f>IF(D55-D161=0,,"'НЕПРАВИЛЬНО! НЕ РАВНО п.3.1.1.9.!")</f>
        <v>0</v>
      </c>
    </row>
    <row r="56" spans="1:6" ht="15.75" thickBot="1">
      <c r="A56" s="95" t="s">
        <v>37</v>
      </c>
      <c r="B56" s="12" t="s">
        <v>132</v>
      </c>
      <c r="C56" s="30"/>
      <c r="D56" s="43">
        <v>4</v>
      </c>
      <c r="E56" s="73">
        <f t="shared" si="4"/>
        <v>1</v>
      </c>
      <c r="F56" s="65" t="str">
        <f t="shared" si="5"/>
        <v> </v>
      </c>
    </row>
    <row r="57" spans="1:6" ht="17.25" thickBot="1">
      <c r="A57" s="95" t="s">
        <v>39</v>
      </c>
      <c r="B57" s="94" t="s">
        <v>222</v>
      </c>
      <c r="C57" s="31"/>
      <c r="D57" s="43">
        <v>9</v>
      </c>
      <c r="E57" s="6">
        <f t="shared" si="4"/>
        <v>1</v>
      </c>
      <c r="F57" s="65" t="str">
        <f t="shared" si="5"/>
        <v> </v>
      </c>
    </row>
    <row r="58" spans="1:10" ht="15">
      <c r="A58" s="51"/>
      <c r="B58" s="8" t="s">
        <v>158</v>
      </c>
      <c r="C58" s="15"/>
      <c r="D58" s="41">
        <v>348</v>
      </c>
      <c r="E58" s="6">
        <f t="shared" si="4"/>
        <v>1</v>
      </c>
      <c r="F58" s="65" t="str">
        <f t="shared" si="5"/>
        <v> </v>
      </c>
      <c r="G58" s="64">
        <f>IF(D58-D20&lt;=0,,"'НЕПРАВИЛЬНО! п.п.2.1.3. (в них: чл. Профсоюза) не может быть больше п.п.1.2.1. (в них: работающих)!")</f>
        <v>0</v>
      </c>
      <c r="J58"/>
    </row>
    <row r="59" spans="1:10" ht="15">
      <c r="A59" s="51"/>
      <c r="B59" s="8" t="s">
        <v>109</v>
      </c>
      <c r="C59" s="78"/>
      <c r="D59" s="38">
        <v>219</v>
      </c>
      <c r="E59" s="6">
        <f t="shared" si="4"/>
        <v>1</v>
      </c>
      <c r="F59" s="65" t="str">
        <f t="shared" si="5"/>
        <v> </v>
      </c>
      <c r="G59" s="64">
        <f>IF(D59-D21&lt;=0,,"'НЕПРАВИЛЬНО! п.п.2.1.3. (в т.ч.: пед. работников) не может быть больше п.п.1.2.1. (в т.ч.: пед. работников)!")</f>
        <v>0</v>
      </c>
      <c r="H59" s="60"/>
      <c r="J59"/>
    </row>
    <row r="60" spans="1:10" ht="15">
      <c r="A60" s="51"/>
      <c r="B60" s="8" t="s">
        <v>107</v>
      </c>
      <c r="C60" s="16"/>
      <c r="D60" s="38">
        <v>14</v>
      </c>
      <c r="E60" s="6">
        <f>COUNTA(D60)</f>
        <v>1</v>
      </c>
      <c r="F60" s="65" t="str">
        <f t="shared" si="5"/>
        <v> </v>
      </c>
      <c r="G60" s="64">
        <f>IF(D60-D22&lt;=0,,"'НЕПРАВИЛЬНО! п.п.2.1.3. (из них: молодежи из пед. раб.) не может быть больше п.п.1.2.1. (из них: молодежи из пед. раб.)!")</f>
        <v>0</v>
      </c>
      <c r="J60"/>
    </row>
    <row r="61" spans="1:10" ht="15">
      <c r="A61" s="95" t="s">
        <v>175</v>
      </c>
      <c r="B61" s="133" t="s">
        <v>191</v>
      </c>
      <c r="C61" s="16"/>
      <c r="D61" s="38">
        <v>32</v>
      </c>
      <c r="E61" s="6">
        <f>COUNTA(D61)</f>
        <v>1</v>
      </c>
      <c r="F61" s="65" t="str">
        <f>IF(E61=1," ","Не заполнено")</f>
        <v> </v>
      </c>
      <c r="G61" s="64">
        <f>IF(D61-D23&lt;=0,,"'НЕПРАВИЛЬНО! п.п.2.1.3.1. (из общ. числа раб.: - раб. дошк. обр.) не может быть больше п.п.1.2.1.1. (из общ. числа раб.: - раб. дошк. обр.)!")</f>
        <v>0</v>
      </c>
      <c r="I61" s="111"/>
      <c r="J61"/>
    </row>
    <row r="62" spans="1:10" ht="15">
      <c r="A62" s="51"/>
      <c r="B62" s="133" t="s">
        <v>109</v>
      </c>
      <c r="C62" s="16"/>
      <c r="D62" s="38">
        <v>16</v>
      </c>
      <c r="E62" s="6">
        <f>COUNTA(D62)</f>
        <v>1</v>
      </c>
      <c r="F62" s="65" t="str">
        <f>IF(E62=1," ","Не заполнено")</f>
        <v> </v>
      </c>
      <c r="G62" s="64">
        <f>IF(D62-D24&lt;=0,,"'НЕПРАВИЛЬНО! п.п.2.1.3.1. (в т.ч.: - педаг. раб.) не может быть больше п.п.1.2.1.1. (в т.ч.: - педаг. раб.)!")</f>
        <v>0</v>
      </c>
      <c r="I62" s="111"/>
      <c r="J62"/>
    </row>
    <row r="63" spans="1:10" ht="15.75" thickBot="1">
      <c r="A63" s="51"/>
      <c r="B63" s="8" t="s">
        <v>107</v>
      </c>
      <c r="C63" s="16"/>
      <c r="D63" s="40">
        <v>5</v>
      </c>
      <c r="E63" s="6">
        <f>COUNTA(D63)</f>
        <v>1</v>
      </c>
      <c r="F63" s="65" t="str">
        <f>IF(E63=1," ","Не заполнено")</f>
        <v> </v>
      </c>
      <c r="G63" s="64">
        <f>IF(D63-D25&lt;=0,,"'НЕПРАВИЛЬНО! п.п.2.1.3.1. (из них: молодежи из пед. раб.) не может быть больше п.п.1.2.1.1. (из них: молодежи из пед. раб.)!")</f>
        <v>0</v>
      </c>
      <c r="I63" s="111"/>
      <c r="J63"/>
    </row>
    <row r="64" spans="1:9" ht="17.25" thickBot="1">
      <c r="A64" s="95" t="s">
        <v>11</v>
      </c>
      <c r="B64" s="94" t="s">
        <v>193</v>
      </c>
      <c r="C64" s="66"/>
      <c r="D64" s="43">
        <v>7</v>
      </c>
      <c r="E64" s="6">
        <f t="shared" si="4"/>
        <v>1</v>
      </c>
      <c r="F64" s="65" t="str">
        <f t="shared" si="5"/>
        <v> </v>
      </c>
      <c r="I64" s="111"/>
    </row>
    <row r="65" spans="1:7" ht="15">
      <c r="A65" s="51"/>
      <c r="B65" s="8" t="s">
        <v>159</v>
      </c>
      <c r="C65" s="17"/>
      <c r="D65" s="41">
        <v>86</v>
      </c>
      <c r="E65" s="6">
        <f t="shared" si="4"/>
        <v>1</v>
      </c>
      <c r="F65" s="65" t="str">
        <f t="shared" si="5"/>
        <v> </v>
      </c>
      <c r="G65" s="64">
        <f>IF(D65-D27&lt;=0,,"'НЕПРАВИЛЬНО! п.п.2.1.4. (в них: чл. Профсоюза) не может быть больше п.п.1.2.2. (в них: работающих)!")</f>
        <v>0</v>
      </c>
    </row>
    <row r="66" spans="1:7" ht="15">
      <c r="A66" s="51"/>
      <c r="B66" s="8" t="s">
        <v>109</v>
      </c>
      <c r="C66" s="18"/>
      <c r="D66" s="38">
        <v>42</v>
      </c>
      <c r="E66" s="6">
        <f t="shared" si="4"/>
        <v>1</v>
      </c>
      <c r="F66" s="65" t="str">
        <f t="shared" si="5"/>
        <v> </v>
      </c>
      <c r="G66" s="64">
        <f>IF(D66-D28&lt;=0,,"'НЕПРАВИЛЬНО! п.п.2.1.4. (в т.ч.: пед. работников) не может быть больше п.п.1.2.2. (в т.ч.: пед. работников)!")</f>
        <v>0</v>
      </c>
    </row>
    <row r="67" spans="1:7" ht="15.75" thickBot="1">
      <c r="A67" s="70"/>
      <c r="B67" s="8" t="s">
        <v>107</v>
      </c>
      <c r="C67" s="48"/>
      <c r="D67" s="38">
        <v>0</v>
      </c>
      <c r="E67" s="6">
        <f t="shared" si="4"/>
        <v>1</v>
      </c>
      <c r="F67" s="65" t="str">
        <f t="shared" si="5"/>
        <v> </v>
      </c>
      <c r="G67" s="64">
        <f>IF(D67-D29&lt;=0,,"'НЕПРАВИЛЬНО! п.п.2.1.4. (из них: молодежи из пед. раб.) не может быть больше п.п.1.2.2. (из них: молодежи из пед. раб.)!")</f>
        <v>0</v>
      </c>
    </row>
    <row r="68" spans="1:9" ht="17.25" thickBot="1">
      <c r="A68" s="95" t="s">
        <v>12</v>
      </c>
      <c r="B68" s="94" t="s">
        <v>206</v>
      </c>
      <c r="C68" s="7" t="s">
        <v>2</v>
      </c>
      <c r="D68" s="19">
        <f>D70+D75+D79</f>
        <v>0</v>
      </c>
      <c r="E68" s="6"/>
      <c r="F68" s="65"/>
      <c r="G68" s="168"/>
      <c r="I68" s="64"/>
    </row>
    <row r="69" spans="1:6" ht="15.75" thickBot="1">
      <c r="A69" s="51"/>
      <c r="B69" s="8" t="s">
        <v>147</v>
      </c>
      <c r="C69" s="115"/>
      <c r="D69" s="116" t="s">
        <v>25</v>
      </c>
      <c r="E69" s="6"/>
      <c r="F69" s="65"/>
    </row>
    <row r="70" spans="1:6" ht="17.25" thickBot="1">
      <c r="A70" s="51"/>
      <c r="B70" s="94" t="s">
        <v>56</v>
      </c>
      <c r="C70" s="23"/>
      <c r="D70" s="43">
        <v>0</v>
      </c>
      <c r="E70" s="6">
        <f>COUNTA(D70)</f>
        <v>1</v>
      </c>
      <c r="F70" s="65" t="str">
        <f aca="true" t="shared" si="6" ref="F70:F101">IF(E70=1," ","Не заполнено")</f>
        <v> </v>
      </c>
    </row>
    <row r="71" spans="1:10" ht="15">
      <c r="A71" s="51"/>
      <c r="B71" s="8" t="s">
        <v>160</v>
      </c>
      <c r="C71" s="15"/>
      <c r="D71" s="41">
        <v>0</v>
      </c>
      <c r="E71" s="6">
        <f>COUNTA(D71)</f>
        <v>1</v>
      </c>
      <c r="F71" s="65" t="str">
        <f t="shared" si="6"/>
        <v> </v>
      </c>
      <c r="G71" s="64">
        <f>IF((D71+D76)-D31&lt;=0,,"'НЕПРАВИЛЬНО! Cумма ((п.п.2.1.5. а) (в них: чл. Профсоюза работающих)+п.п.2.1.5. б) (в них: чл. Профсоюза)) не может быть больше п.п.1.2.3. (в них: работающих)!)")</f>
        <v>0</v>
      </c>
      <c r="J71"/>
    </row>
    <row r="72" spans="1:10" ht="15">
      <c r="A72" s="51"/>
      <c r="B72" s="8" t="s">
        <v>109</v>
      </c>
      <c r="C72" s="15"/>
      <c r="D72" s="38">
        <v>0</v>
      </c>
      <c r="E72" s="6">
        <f aca="true" t="shared" si="7" ref="E72:E101">COUNTA(D72)</f>
        <v>1</v>
      </c>
      <c r="F72" s="65" t="str">
        <f t="shared" si="6"/>
        <v> </v>
      </c>
      <c r="G72" s="64">
        <f>IF((D72+D77)-D32&lt;=0,,"'НЕПРАВИЛЬНО! Cумма ((п.п.2.1.5. а) (в т.ч.: пед. работников)+п.п.2.1.5. б) (в т.ч.: пед. работников)) не может быть больше п.п.1.2.3. (в т.ч.: пед. работников)!)")</f>
        <v>0</v>
      </c>
      <c r="J72"/>
    </row>
    <row r="73" spans="1:10" ht="15">
      <c r="A73" s="51"/>
      <c r="B73" s="8" t="s">
        <v>107</v>
      </c>
      <c r="C73" s="15"/>
      <c r="D73" s="38">
        <v>0</v>
      </c>
      <c r="E73" s="6">
        <f>COUNTA(D73)</f>
        <v>1</v>
      </c>
      <c r="F73" s="65" t="str">
        <f t="shared" si="6"/>
        <v> </v>
      </c>
      <c r="G73" s="64">
        <f>IF((D73+D78)-D33&lt;=0,,"'НЕПРАВИЛЬНО! Cумма ((п.п.2.1.5. а) (из них: молодежи из пед. раб.)+п.п.2.1.5. б) (из них: молодежи из пед. раб.) не может быть больше п.п.1.2.3. (из них: молодежи из пед. раб.)!)")</f>
        <v>0</v>
      </c>
      <c r="J73"/>
    </row>
    <row r="74" spans="1:10" ht="15.75" thickBot="1">
      <c r="A74" s="51"/>
      <c r="B74" s="8" t="s">
        <v>167</v>
      </c>
      <c r="C74" s="15"/>
      <c r="D74" s="40">
        <v>0</v>
      </c>
      <c r="E74" s="6">
        <f t="shared" si="7"/>
        <v>1</v>
      </c>
      <c r="F74" s="65" t="str">
        <f t="shared" si="6"/>
        <v> </v>
      </c>
      <c r="G74" s="64">
        <f>IF((D74+D80)-D34&lt;=0,,"'НЕПРАВИЛЬНО! Cумма ((п.п.2.1.5. а) (в них.: обуч.)+п.п.2.1.5. в) (в них: чл. Профсоюза) не может быть больше п.п.1.2.3. (в них: обуч.)!")</f>
        <v>0</v>
      </c>
      <c r="J74"/>
    </row>
    <row r="75" spans="1:6" ht="17.25" thickBot="1">
      <c r="A75" s="51"/>
      <c r="B75" s="94" t="s">
        <v>52</v>
      </c>
      <c r="C75" s="14"/>
      <c r="D75" s="43">
        <v>0</v>
      </c>
      <c r="E75" s="6">
        <f t="shared" si="7"/>
        <v>1</v>
      </c>
      <c r="F75" s="65" t="str">
        <f t="shared" si="6"/>
        <v> </v>
      </c>
    </row>
    <row r="76" spans="1:10" ht="15">
      <c r="A76" s="51"/>
      <c r="B76" s="8" t="s">
        <v>161</v>
      </c>
      <c r="C76" s="15"/>
      <c r="D76" s="41">
        <v>0</v>
      </c>
      <c r="E76" s="6">
        <f t="shared" si="7"/>
        <v>1</v>
      </c>
      <c r="F76" s="65" t="str">
        <f t="shared" si="6"/>
        <v> </v>
      </c>
      <c r="G76" s="64">
        <f>IF((D76+D71)-D31&lt;=0,,"'НЕПРАВИЛЬНО! Cумма ((п.п.2.1.5. б) (в них: чл. Профсоюза)+п.п.2.1.5. а) (в них: чл. Профсоюза работающих) не может быть больше п.п.1.2.3.(в них: работающих)!)")</f>
        <v>0</v>
      </c>
      <c r="I76"/>
      <c r="J76"/>
    </row>
    <row r="77" spans="1:10" ht="15">
      <c r="A77" s="51"/>
      <c r="B77" s="8" t="s">
        <v>109</v>
      </c>
      <c r="C77" s="14"/>
      <c r="D77" s="38">
        <v>0</v>
      </c>
      <c r="E77" s="6">
        <f t="shared" si="7"/>
        <v>1</v>
      </c>
      <c r="F77" s="65" t="str">
        <f t="shared" si="6"/>
        <v> </v>
      </c>
      <c r="G77" s="64">
        <f>IF((D77+D72)-D32&lt;=0,,"'НЕПРАВИЛЬНО! Cумма ((п.п.2.1.5. б) (в т.ч.: пед. работников)+п.п.2.1.5. а) (в т.ч.: пед. работников) не может быть больше п.п.1.2.3. (в т.ч.: пед. работников)!)")</f>
        <v>0</v>
      </c>
      <c r="I77"/>
      <c r="J77"/>
    </row>
    <row r="78" spans="1:10" ht="15.75" thickBot="1">
      <c r="A78" s="51"/>
      <c r="B78" s="8" t="s">
        <v>107</v>
      </c>
      <c r="C78" s="15"/>
      <c r="D78" s="38">
        <v>0</v>
      </c>
      <c r="E78" s="6">
        <f>COUNTA(D78)</f>
        <v>1</v>
      </c>
      <c r="F78" s="65" t="str">
        <f t="shared" si="6"/>
        <v> </v>
      </c>
      <c r="G78" s="64">
        <f>IF((D78+D73)-D33&lt;=0,,"'НЕПРАВИЛЬНО! Cумма ((п.п.2.1.5. б) (из них: молодежи из пед. раб.)+п.п.2.1.5. а) (из них: молодежи из пед. раб.)) не может быть больше п.п.1.2.3. (из них: молодежи из пед. раб.)!)")</f>
        <v>0</v>
      </c>
      <c r="I78"/>
      <c r="J78"/>
    </row>
    <row r="79" spans="1:6" ht="17.25" thickBot="1">
      <c r="A79" s="51"/>
      <c r="B79" s="94" t="s">
        <v>168</v>
      </c>
      <c r="C79" s="23"/>
      <c r="D79" s="43">
        <v>0</v>
      </c>
      <c r="E79" s="6">
        <f t="shared" si="7"/>
        <v>1</v>
      </c>
      <c r="F79" s="65" t="str">
        <f t="shared" si="6"/>
        <v> </v>
      </c>
    </row>
    <row r="80" spans="1:18" ht="15.75" thickBot="1">
      <c r="A80" s="51"/>
      <c r="B80" s="8" t="s">
        <v>162</v>
      </c>
      <c r="C80" s="14"/>
      <c r="D80" s="42">
        <v>0</v>
      </c>
      <c r="E80" s="6">
        <f t="shared" si="7"/>
        <v>1</v>
      </c>
      <c r="F80" s="65" t="str">
        <f t="shared" si="6"/>
        <v> </v>
      </c>
      <c r="G80" s="64">
        <f>IF((D80+D74)-D34&lt;=0,,"'НЕПРАВИЛЬНО! Cумма ((п.п.2.1.5. в) (в них: чл. Профсоюза)+п.п.2.1.5. а) (в них.: обуч.) не может быть больше п.п.1.2.3.(в них: обуч.)!")</f>
        <v>0</v>
      </c>
      <c r="R80"/>
    </row>
    <row r="81" spans="1:8" ht="16.5" thickBot="1">
      <c r="A81" s="145" t="s">
        <v>65</v>
      </c>
      <c r="B81" s="147" t="s">
        <v>150</v>
      </c>
      <c r="C81" s="31" t="s">
        <v>2</v>
      </c>
      <c r="D81" s="136">
        <f>SUM(D83+D88+D92)</f>
        <v>0</v>
      </c>
      <c r="F81" s="65"/>
      <c r="G81" s="65"/>
      <c r="H81" s="110"/>
    </row>
    <row r="82" spans="1:8" ht="15.75" thickBot="1">
      <c r="A82" s="51"/>
      <c r="B82" s="8" t="s">
        <v>148</v>
      </c>
      <c r="C82" s="134"/>
      <c r="D82" s="116" t="s">
        <v>25</v>
      </c>
      <c r="F82" s="165"/>
      <c r="G82" s="65"/>
      <c r="H82" s="110"/>
    </row>
    <row r="83" spans="1:8" ht="16.5" thickBot="1">
      <c r="A83" s="51"/>
      <c r="B83" s="34" t="s">
        <v>56</v>
      </c>
      <c r="C83" s="135"/>
      <c r="D83" s="149">
        <v>0</v>
      </c>
      <c r="E83" s="6">
        <f t="shared" si="7"/>
        <v>1</v>
      </c>
      <c r="F83" s="65" t="str">
        <f t="shared" si="6"/>
        <v> </v>
      </c>
      <c r="G83" s="65"/>
      <c r="H83" s="110"/>
    </row>
    <row r="84" spans="1:10" ht="15">
      <c r="A84" s="51"/>
      <c r="B84" s="8" t="s">
        <v>160</v>
      </c>
      <c r="C84" s="134"/>
      <c r="D84" s="139">
        <v>0</v>
      </c>
      <c r="E84" s="6">
        <f t="shared" si="7"/>
        <v>1</v>
      </c>
      <c r="F84" s="65" t="str">
        <f t="shared" si="6"/>
        <v> </v>
      </c>
      <c r="G84" s="64">
        <f>IF((D84+D89)-D36&lt;=0,,"'НЕПРАВИЛЬНО! Cумма ((п.п.2.1.5. а) (в них: чл.Профсоюза работающих)+п.п.2.1.5. б) (в них: чл. Профсоюза) не может быть больше п.п.1.2.3. (в них: работающих))!")</f>
        <v>0</v>
      </c>
      <c r="H84" s="110"/>
      <c r="J84"/>
    </row>
    <row r="85" spans="1:10" ht="15">
      <c r="A85" s="51"/>
      <c r="B85" s="8" t="s">
        <v>109</v>
      </c>
      <c r="C85" s="134"/>
      <c r="D85" s="140">
        <v>0</v>
      </c>
      <c r="E85" s="6">
        <f t="shared" si="7"/>
        <v>1</v>
      </c>
      <c r="F85" s="65" t="str">
        <f t="shared" si="6"/>
        <v> </v>
      </c>
      <c r="G85" s="64">
        <f>IF((D85+D90)-D37&lt;=0,,"'НЕПРАВИЛЬНО! Сумма ((п.п.2.1.5. а) (в т.ч.: пед. работников)+п.п.2.1.5. б) (в т.ч.: пед. работников) не может быть больше п.п.1.2.3. (в т.ч.: пед. работников))!")</f>
        <v>0</v>
      </c>
      <c r="H85" s="110"/>
      <c r="J85"/>
    </row>
    <row r="86" spans="1:10" ht="15">
      <c r="A86" s="51"/>
      <c r="B86" s="8" t="s">
        <v>107</v>
      </c>
      <c r="C86" s="134"/>
      <c r="D86" s="140">
        <v>0</v>
      </c>
      <c r="E86" s="6">
        <f t="shared" si="7"/>
        <v>1</v>
      </c>
      <c r="F86" s="65" t="str">
        <f t="shared" si="6"/>
        <v> </v>
      </c>
      <c r="G86" s="64">
        <f>IF((D86+D91)-D38&lt;=0,,"'НЕПРАВИЛЬНО! Сумма ((п.п.2.1.5. а) из них: молодежи из пед. раб.)+п.п.2.1.5. б) (из них: молодежи из пед.раб.) не может быть меньше п.п.1.2.3. (из них: молодежи из пед. раб.)!")</f>
        <v>0</v>
      </c>
      <c r="H86" s="110"/>
      <c r="J86"/>
    </row>
    <row r="87" spans="1:10" ht="15.75" thickBot="1">
      <c r="A87" s="51"/>
      <c r="B87" s="8" t="s">
        <v>167</v>
      </c>
      <c r="C87" s="134"/>
      <c r="D87" s="141">
        <v>0</v>
      </c>
      <c r="E87" s="6">
        <f t="shared" si="7"/>
        <v>1</v>
      </c>
      <c r="F87" s="65" t="str">
        <f t="shared" si="6"/>
        <v> </v>
      </c>
      <c r="G87" s="64">
        <f>IF((D87+D93)-D39&lt;=0,,"'НЕПРАВИЛЬНО! Сумма ((п.п.2.1.5. а) (в них: обуч.)+п.п.2.1.5. в) (в них: чл. Профсоюза) не может быть больше п.п.1.2.3. (в них: обуч.)!")</f>
        <v>0</v>
      </c>
      <c r="H87" s="110"/>
      <c r="J87"/>
    </row>
    <row r="88" spans="1:8" ht="16.5" thickBot="1">
      <c r="A88" s="51"/>
      <c r="B88" s="34" t="s">
        <v>52</v>
      </c>
      <c r="C88" s="135"/>
      <c r="D88" s="149">
        <v>0</v>
      </c>
      <c r="E88" s="6">
        <f t="shared" si="7"/>
        <v>1</v>
      </c>
      <c r="F88" s="65" t="str">
        <f t="shared" si="6"/>
        <v> </v>
      </c>
      <c r="G88" s="65"/>
      <c r="H88" s="110"/>
    </row>
    <row r="89" spans="1:10" ht="15">
      <c r="A89" s="51"/>
      <c r="B89" s="8" t="s">
        <v>161</v>
      </c>
      <c r="C89" s="134"/>
      <c r="D89" s="139">
        <v>0</v>
      </c>
      <c r="E89" s="6">
        <f t="shared" si="7"/>
        <v>1</v>
      </c>
      <c r="F89" s="65" t="str">
        <f t="shared" si="6"/>
        <v> </v>
      </c>
      <c r="G89" s="64">
        <f>IF((D89+D84)-D36&lt;=0,,"'НЕПРАВИЛЬНО! Cумма ((п.п.2.1.5. б) (в них: чл. Профсоюза работающих)+п.п.2.1.5. а) (в них: чл.Профсоюза) не может быть больше п.п.1.2.3. (в них: работающих))!")</f>
        <v>0</v>
      </c>
      <c r="H89" s="110"/>
      <c r="J89"/>
    </row>
    <row r="90" spans="1:10" ht="15">
      <c r="A90" s="51"/>
      <c r="B90" s="8" t="s">
        <v>109</v>
      </c>
      <c r="C90" s="134"/>
      <c r="D90" s="140">
        <v>0</v>
      </c>
      <c r="E90" s="6">
        <f t="shared" si="7"/>
        <v>1</v>
      </c>
      <c r="F90" s="65" t="str">
        <f t="shared" si="6"/>
        <v> </v>
      </c>
      <c r="G90" s="64">
        <f>IF((D90+D85)-D37&lt;=0,,"'НЕПРАВИЛЬНО! Cумма ((п.п.2.1.5. б) (в т.ч.: пед. работников)+п.п.2.1.5. а) (в т.ч.: пед. работников) не может быть больше п.п.1.2.3. (в т.ч.: пед. работников))!")</f>
        <v>0</v>
      </c>
      <c r="H90" s="110"/>
      <c r="J90"/>
    </row>
    <row r="91" spans="1:10" ht="15.75" thickBot="1">
      <c r="A91" s="51"/>
      <c r="B91" s="8" t="s">
        <v>107</v>
      </c>
      <c r="C91" s="134"/>
      <c r="D91" s="141">
        <v>0</v>
      </c>
      <c r="E91" s="6">
        <f t="shared" si="7"/>
        <v>1</v>
      </c>
      <c r="F91" s="65" t="str">
        <f t="shared" si="6"/>
        <v> </v>
      </c>
      <c r="G91" s="64">
        <f>IF((D91+D86)-D38&lt;=0,,"'НЕПРАВИЛЬНО! Cумма ((п.п.2.1.5. б) (из них: молодежи из пед. раб.)+п.п.2.1.5. а) (из них: молодежи из пед. раб.) не может быть больше п.п.1.2.3. (из них: молодежи из пед. раб.))!")</f>
        <v>0</v>
      </c>
      <c r="H91" s="110"/>
      <c r="J91"/>
    </row>
    <row r="92" spans="1:8" ht="16.5" thickBot="1">
      <c r="A92" s="51"/>
      <c r="B92" s="34" t="s">
        <v>168</v>
      </c>
      <c r="C92" s="135"/>
      <c r="D92" s="138">
        <v>0</v>
      </c>
      <c r="E92" s="6">
        <f t="shared" si="7"/>
        <v>1</v>
      </c>
      <c r="F92" s="65" t="str">
        <f t="shared" si="6"/>
        <v> </v>
      </c>
      <c r="G92" s="65"/>
      <c r="H92" s="110"/>
    </row>
    <row r="93" spans="1:8" ht="15.75" thickBot="1">
      <c r="A93" s="51"/>
      <c r="B93" s="8" t="s">
        <v>162</v>
      </c>
      <c r="C93" s="134"/>
      <c r="D93" s="142">
        <v>0</v>
      </c>
      <c r="E93" s="6">
        <f t="shared" si="7"/>
        <v>1</v>
      </c>
      <c r="F93" s="65" t="str">
        <f t="shared" si="6"/>
        <v> </v>
      </c>
      <c r="G93" s="64">
        <f>IF((D93+D87)-D39&lt;=0,,"'НЕПРАВИЛЬНО! Сумма ((п.п.2.1.5. в) (в них: чл. Профсоюза)+п.п.2.1.5. а) (в них: обуч.) не может быть больше п.п.1.2.3. (в них: обуч.)!")</f>
        <v>0</v>
      </c>
      <c r="H93" s="110"/>
    </row>
    <row r="94" spans="1:6" ht="17.25" thickBot="1">
      <c r="A94" s="95" t="s">
        <v>14</v>
      </c>
      <c r="B94" s="94" t="s">
        <v>207</v>
      </c>
      <c r="C94" s="47"/>
      <c r="D94" s="43">
        <v>2</v>
      </c>
      <c r="E94" s="6">
        <f t="shared" si="7"/>
        <v>1</v>
      </c>
      <c r="F94" s="65" t="str">
        <f t="shared" si="6"/>
        <v> </v>
      </c>
    </row>
    <row r="95" spans="1:7" ht="15">
      <c r="A95" s="51"/>
      <c r="B95" s="8" t="s">
        <v>163</v>
      </c>
      <c r="C95" s="15"/>
      <c r="D95" s="38">
        <v>21</v>
      </c>
      <c r="E95" s="6">
        <f t="shared" si="7"/>
        <v>1</v>
      </c>
      <c r="F95" s="65" t="str">
        <f t="shared" si="6"/>
        <v> </v>
      </c>
      <c r="G95" s="64">
        <f>IF(D95-D41&lt;=0,,"'НЕПРАВИЛЬНО! п.п.2.1.6. (в них: чл. Профсоюза) не может быть больше п.п.1.2.4. (в них: работающих)!")</f>
        <v>0</v>
      </c>
    </row>
    <row r="96" spans="1:10" ht="15">
      <c r="A96" s="61"/>
      <c r="B96" s="8" t="s">
        <v>108</v>
      </c>
      <c r="C96" s="15"/>
      <c r="D96" s="41">
        <v>15</v>
      </c>
      <c r="E96" s="6">
        <f t="shared" si="7"/>
        <v>1</v>
      </c>
      <c r="F96" s="65" t="str">
        <f t="shared" si="6"/>
        <v> </v>
      </c>
      <c r="G96" s="64">
        <f>IF(D96-D42&lt;=0,,"'НЕПРАВИЛЬНО! п.п.2.1.6. (в т.ч.: пед. работников) не может быть больше  п.п.1.2.4. (в т.ч.: пед. работников)!")</f>
        <v>0</v>
      </c>
      <c r="J96"/>
    </row>
    <row r="97" spans="1:10" ht="15.75" thickBot="1">
      <c r="A97" s="61"/>
      <c r="B97" s="8" t="s">
        <v>107</v>
      </c>
      <c r="C97" s="14"/>
      <c r="D97" s="38">
        <v>0</v>
      </c>
      <c r="E97" s="6">
        <f t="shared" si="7"/>
        <v>1</v>
      </c>
      <c r="F97" s="65" t="str">
        <f t="shared" si="6"/>
        <v> </v>
      </c>
      <c r="G97" s="64">
        <f>IF(D97-D43&lt;=0,,"'НЕПРАВИЛЬНО! п.п.2.1.6. (из них: молодежи из пед. раб.)  не может быть больше п.п.1.2.4. (из них: молодежи из пед. раб.)!")</f>
        <v>0</v>
      </c>
      <c r="J97"/>
    </row>
    <row r="98" spans="1:6" ht="17.25" thickBot="1">
      <c r="A98" s="95" t="s">
        <v>15</v>
      </c>
      <c r="B98" s="94" t="s">
        <v>61</v>
      </c>
      <c r="C98" s="23"/>
      <c r="D98" s="43">
        <v>1</v>
      </c>
      <c r="E98" s="6">
        <f t="shared" si="7"/>
        <v>1</v>
      </c>
      <c r="F98" s="65" t="str">
        <f t="shared" si="6"/>
        <v> </v>
      </c>
    </row>
    <row r="99" spans="1:7" ht="15">
      <c r="A99" s="51"/>
      <c r="B99" s="8" t="s">
        <v>164</v>
      </c>
      <c r="C99" s="15"/>
      <c r="D99" s="131">
        <v>23</v>
      </c>
      <c r="E99" s="6">
        <f t="shared" si="7"/>
        <v>1</v>
      </c>
      <c r="F99" s="65" t="str">
        <f t="shared" si="6"/>
        <v> </v>
      </c>
      <c r="G99" s="64">
        <f>IF(D99-D45&lt;=0,,"'НЕПРАВИЛЬНО! п.п.2.1.7. ( в них: чл. Профсоюза работающих) не может быть больше п.п.1.2.5. (в них: работающих)!")</f>
        <v>0</v>
      </c>
    </row>
    <row r="100" spans="1:7" ht="15">
      <c r="A100" s="51"/>
      <c r="B100" s="8" t="s">
        <v>109</v>
      </c>
      <c r="C100" s="127"/>
      <c r="D100" s="38">
        <v>8</v>
      </c>
      <c r="E100" s="6">
        <f>COUNTA(D100)</f>
        <v>1</v>
      </c>
      <c r="F100" s="65" t="str">
        <f t="shared" si="6"/>
        <v> </v>
      </c>
      <c r="G100" s="64">
        <f>IF(D100-D46&lt;=0,,"'НЕПРАВИЛЬНО! п.п.2.1.7. (в т.ч.: пед. работников) не может быть больше п.п.1.2.5. (в т.ч.: пед. работников)!")</f>
        <v>0</v>
      </c>
    </row>
    <row r="101" spans="1:7" ht="15.75" thickBot="1">
      <c r="A101" s="51"/>
      <c r="B101" s="8" t="s">
        <v>107</v>
      </c>
      <c r="C101" s="15"/>
      <c r="D101" s="40">
        <v>2</v>
      </c>
      <c r="E101" s="6">
        <f t="shared" si="7"/>
        <v>1</v>
      </c>
      <c r="F101" s="65" t="str">
        <f t="shared" si="6"/>
        <v> </v>
      </c>
      <c r="G101" s="64">
        <f>IF(D101-D47&lt;=0,,"'НЕПРАВИЛЬНО! п.п.2.1.7. (из них: молодежи из пед. раб.) не может быть больше п.п.1.2.5. (из них: молодежи из пед. раб.)!")</f>
        <v>0</v>
      </c>
    </row>
    <row r="102" spans="1:11" ht="17.25" thickBot="1">
      <c r="A102" s="95" t="s">
        <v>210</v>
      </c>
      <c r="B102" s="94" t="s">
        <v>31</v>
      </c>
      <c r="C102" s="33" t="s">
        <v>30</v>
      </c>
      <c r="D102" s="43">
        <v>0</v>
      </c>
      <c r="E102" s="6">
        <f>COUNTA(D102)</f>
        <v>1</v>
      </c>
      <c r="F102" s="65" t="str">
        <f>IF(E102=1," ","Не заполнено")</f>
        <v> </v>
      </c>
      <c r="G102" s="64">
        <f>IF(D102-D104&gt;=0,,"'НЕПРАВИЛЬНО! п.п.2.1.10. (общ. кол-во созд. ППО) не может быть меньше в т.ч. в СПО)!")</f>
        <v>0</v>
      </c>
      <c r="H102" s="143"/>
      <c r="I102" s="128"/>
      <c r="K102"/>
    </row>
    <row r="103" spans="1:9" ht="15">
      <c r="A103" s="95"/>
      <c r="B103" s="8" t="s">
        <v>176</v>
      </c>
      <c r="C103" s="33"/>
      <c r="D103" s="63" t="s">
        <v>25</v>
      </c>
      <c r="E103" s="6"/>
      <c r="F103" s="65"/>
      <c r="H103"/>
      <c r="I103" s="128"/>
    </row>
    <row r="104" spans="1:9" ht="15.75" thickBot="1">
      <c r="A104" s="95"/>
      <c r="B104" s="133" t="s">
        <v>177</v>
      </c>
      <c r="C104" s="33"/>
      <c r="D104" s="39">
        <v>0</v>
      </c>
      <c r="E104" s="6">
        <f>COUNTA(D104)</f>
        <v>1</v>
      </c>
      <c r="F104" s="65" t="str">
        <f>IF(E104=1," ","Не заполнено")</f>
        <v> </v>
      </c>
      <c r="H104"/>
      <c r="I104" s="156"/>
    </row>
    <row r="105" spans="1:11" ht="17.25" thickBot="1">
      <c r="A105" s="95" t="s">
        <v>211</v>
      </c>
      <c r="B105" s="175" t="s">
        <v>202</v>
      </c>
      <c r="C105" s="33"/>
      <c r="D105" s="19">
        <f>D106+D109+D112</f>
        <v>0</v>
      </c>
      <c r="E105" s="6"/>
      <c r="F105" s="65"/>
      <c r="G105" s="64">
        <f>IF(D105-(D106+D109+D112)&gt;=0,,"'НЕПРАВИЛЬНО! п.п.2.1.9. (общ. кол-во ППО с числ. менее 50%) не может быть меньше суммы (п.п.2.1.9.1.+п.п.2.1.9.2.+п.п.2.1.9.3.)!")</f>
        <v>0</v>
      </c>
      <c r="H105"/>
      <c r="I105" s="156"/>
      <c r="J105"/>
      <c r="K105"/>
    </row>
    <row r="106" spans="1:11" ht="15">
      <c r="A106" s="95" t="s">
        <v>212</v>
      </c>
      <c r="B106" s="133" t="s">
        <v>194</v>
      </c>
      <c r="C106" s="33"/>
      <c r="D106" s="131">
        <v>0</v>
      </c>
      <c r="E106" s="6">
        <f>COUNTA(D106)</f>
        <v>1</v>
      </c>
      <c r="F106" s="65" t="str">
        <f>IF(E106=1," ","Не заполнено")</f>
        <v> </v>
      </c>
      <c r="G106" s="64">
        <f>IF(D106-D108&gt;=0,,"'НЕПРАВИЛЬНО! п.п.2.1.9.1. не может быть меньше в т. ч. (в СПО)!")</f>
        <v>0</v>
      </c>
      <c r="H106"/>
      <c r="I106" s="156"/>
      <c r="J106"/>
      <c r="K106"/>
    </row>
    <row r="107" spans="1:9" ht="15">
      <c r="A107" s="157"/>
      <c r="B107" s="133" t="s">
        <v>13</v>
      </c>
      <c r="C107" s="33"/>
      <c r="D107" s="176" t="s">
        <v>25</v>
      </c>
      <c r="E107" s="6"/>
      <c r="F107" s="65"/>
      <c r="H107"/>
      <c r="I107" s="156"/>
    </row>
    <row r="108" spans="1:9" ht="15">
      <c r="A108" s="157"/>
      <c r="B108" s="133" t="s">
        <v>177</v>
      </c>
      <c r="C108" s="33"/>
      <c r="D108" s="40">
        <v>0</v>
      </c>
      <c r="E108" s="6">
        <f>COUNTA(D108)</f>
        <v>1</v>
      </c>
      <c r="F108" s="65" t="str">
        <f>IF(E108=1," ","Не заполнено")</f>
        <v> </v>
      </c>
      <c r="H108"/>
      <c r="I108" s="156"/>
    </row>
    <row r="109" spans="1:11" ht="15">
      <c r="A109" s="95" t="s">
        <v>213</v>
      </c>
      <c r="B109" s="133" t="s">
        <v>178</v>
      </c>
      <c r="C109" s="33"/>
      <c r="D109" s="38">
        <v>0</v>
      </c>
      <c r="E109" s="6">
        <f>COUNTA(D109)</f>
        <v>1</v>
      </c>
      <c r="F109" s="65" t="str">
        <f>IF(E109=1," ","Не заполнено")</f>
        <v> </v>
      </c>
      <c r="G109" s="64">
        <f>IF(D109-D111&gt;=0,,"'НЕПРАВИЛЬНО! п.п.2.1.9.2. не может быть меньше в т. ч. (в СПО)!")</f>
        <v>0</v>
      </c>
      <c r="H109"/>
      <c r="I109" s="156"/>
      <c r="J109"/>
      <c r="K109"/>
    </row>
    <row r="110" spans="1:9" ht="15">
      <c r="A110" s="157"/>
      <c r="B110" s="133" t="s">
        <v>13</v>
      </c>
      <c r="C110" s="33"/>
      <c r="D110" s="176" t="s">
        <v>25</v>
      </c>
      <c r="E110" s="6"/>
      <c r="F110" s="65"/>
      <c r="H110"/>
      <c r="I110" s="156"/>
    </row>
    <row r="111" spans="1:9" ht="15">
      <c r="A111" s="157"/>
      <c r="B111" s="133" t="s">
        <v>177</v>
      </c>
      <c r="C111" s="33"/>
      <c r="D111" s="38">
        <v>0</v>
      </c>
      <c r="E111" s="6">
        <f>COUNTA(D111)</f>
        <v>1</v>
      </c>
      <c r="F111" s="65" t="str">
        <f>IF(E111=1," ","Не заполнено")</f>
        <v> </v>
      </c>
      <c r="H111"/>
      <c r="I111" s="156"/>
    </row>
    <row r="112" spans="1:11" ht="15">
      <c r="A112" s="95" t="s">
        <v>214</v>
      </c>
      <c r="B112" s="133" t="s">
        <v>179</v>
      </c>
      <c r="C112" s="33"/>
      <c r="D112" s="38">
        <v>0</v>
      </c>
      <c r="E112" s="6">
        <f>COUNTA(D112)</f>
        <v>1</v>
      </c>
      <c r="F112" s="65" t="str">
        <f>IF(E112=1," ","Не заполнено")</f>
        <v> </v>
      </c>
      <c r="G112" s="64">
        <f>IF(D112-D114&gt;=0,,"'НЕПРАВИЛЬНО! п.п.2.1.9.3. не может быть меньше в т. ч. (в СПО)!")</f>
        <v>0</v>
      </c>
      <c r="H112"/>
      <c r="I112" s="156"/>
      <c r="J112"/>
      <c r="K112"/>
    </row>
    <row r="113" spans="1:9" ht="15">
      <c r="A113" s="157"/>
      <c r="B113" s="133" t="s">
        <v>13</v>
      </c>
      <c r="C113" s="33"/>
      <c r="D113" s="176" t="s">
        <v>25</v>
      </c>
      <c r="E113" s="6"/>
      <c r="F113" s="65"/>
      <c r="H113"/>
      <c r="I113" s="156"/>
    </row>
    <row r="114" spans="1:9" ht="15.75" thickBot="1">
      <c r="A114" s="157"/>
      <c r="B114" s="133" t="s">
        <v>177</v>
      </c>
      <c r="C114" s="33"/>
      <c r="D114" s="39">
        <v>0</v>
      </c>
      <c r="E114" s="6">
        <f>COUNTA(D114)</f>
        <v>1</v>
      </c>
      <c r="F114" s="65" t="str">
        <f>IF(E114=1," ","Не заполнено")</f>
        <v> </v>
      </c>
      <c r="H114"/>
      <c r="I114" s="156"/>
    </row>
    <row r="115" spans="1:7" ht="16.5" thickBot="1">
      <c r="A115" s="119" t="s">
        <v>16</v>
      </c>
      <c r="B115" s="122" t="s">
        <v>35</v>
      </c>
      <c r="C115" s="151" t="s">
        <v>2</v>
      </c>
      <c r="D115" s="19">
        <f>D117+D122+D125</f>
        <v>478</v>
      </c>
      <c r="E115" s="6"/>
      <c r="F115" s="65"/>
      <c r="G115" s="169"/>
    </row>
    <row r="116" spans="1:6" ht="15.75" thickBot="1">
      <c r="A116" s="51"/>
      <c r="B116" s="29" t="s">
        <v>17</v>
      </c>
      <c r="C116" s="10"/>
      <c r="D116" s="63" t="s">
        <v>25</v>
      </c>
      <c r="E116" s="6"/>
      <c r="F116" s="65"/>
    </row>
    <row r="117" spans="1:11" ht="17.25" thickBot="1">
      <c r="A117" s="95" t="s">
        <v>18</v>
      </c>
      <c r="B117" s="94" t="s">
        <v>27</v>
      </c>
      <c r="C117" s="23"/>
      <c r="D117" s="19">
        <f>D58+D65+D71+D76+D95+D99</f>
        <v>478</v>
      </c>
      <c r="E117" s="6"/>
      <c r="F117" s="65"/>
      <c r="G117" s="64">
        <f>IF(D117-D119&gt;=0,,"'НЕПРАВИЛЬНО! п.п.2.2.1. не может быть меньше из общ. числа (в СПО)!")</f>
        <v>0</v>
      </c>
      <c r="J117"/>
      <c r="K117"/>
    </row>
    <row r="118" spans="1:9" ht="15">
      <c r="A118" s="157"/>
      <c r="B118" s="133" t="s">
        <v>180</v>
      </c>
      <c r="C118" s="33"/>
      <c r="D118" s="80" t="s">
        <v>25</v>
      </c>
      <c r="E118" s="6"/>
      <c r="F118" s="65"/>
      <c r="H118"/>
      <c r="I118" s="156"/>
    </row>
    <row r="119" spans="1:10" ht="15">
      <c r="A119" s="157"/>
      <c r="B119" s="133" t="s">
        <v>181</v>
      </c>
      <c r="C119" s="13"/>
      <c r="D119" s="154">
        <f>D71+D76</f>
        <v>0</v>
      </c>
      <c r="E119" s="6"/>
      <c r="F119" s="65"/>
      <c r="H119"/>
      <c r="I119" s="156"/>
      <c r="J119"/>
    </row>
    <row r="120" spans="1:9" ht="15">
      <c r="A120" s="51"/>
      <c r="B120" s="32" t="s">
        <v>165</v>
      </c>
      <c r="C120" s="23"/>
      <c r="D120" s="158">
        <f>D59+D66+D72+D77+D96+D100</f>
        <v>284</v>
      </c>
      <c r="E120" s="6"/>
      <c r="F120" s="65"/>
      <c r="I120"/>
    </row>
    <row r="121" spans="1:9" ht="15.75" thickBot="1">
      <c r="A121" s="51"/>
      <c r="B121" s="8" t="s">
        <v>107</v>
      </c>
      <c r="C121" s="23"/>
      <c r="D121" s="159">
        <f>D60+D67+D73+D78+D97+D101</f>
        <v>16</v>
      </c>
      <c r="E121" s="6"/>
      <c r="F121" s="65"/>
      <c r="I121"/>
    </row>
    <row r="122" spans="1:11" ht="17.25" thickBot="1">
      <c r="A122" s="95" t="s">
        <v>26</v>
      </c>
      <c r="B122" s="94" t="s">
        <v>169</v>
      </c>
      <c r="C122" s="23"/>
      <c r="D122" s="19">
        <f>D74+D80</f>
        <v>0</v>
      </c>
      <c r="E122" s="6"/>
      <c r="F122" s="65"/>
      <c r="G122" s="64">
        <f>IF(D122-D124&gt;=0,,"'НЕПРАВИЛЬНО! п.п.2.2.2. не может быть меньше из общ. числа (в СПО)!")</f>
        <v>0</v>
      </c>
      <c r="J122"/>
      <c r="K122"/>
    </row>
    <row r="123" spans="1:9" ht="15">
      <c r="A123" s="95"/>
      <c r="B123" s="133" t="s">
        <v>180</v>
      </c>
      <c r="C123" s="33"/>
      <c r="D123" s="176" t="s">
        <v>25</v>
      </c>
      <c r="E123" s="6"/>
      <c r="F123" s="65"/>
      <c r="H123"/>
      <c r="I123" s="156"/>
    </row>
    <row r="124" spans="1:10" ht="15.75" thickBot="1">
      <c r="A124" s="95"/>
      <c r="B124" s="133" t="s">
        <v>181</v>
      </c>
      <c r="C124" s="33"/>
      <c r="D124" s="154">
        <f>D74+D80</f>
        <v>0</v>
      </c>
      <c r="E124" s="6"/>
      <c r="F124" s="65"/>
      <c r="H124"/>
      <c r="I124" s="156"/>
      <c r="J124"/>
    </row>
    <row r="125" spans="1:11" ht="12.75" customHeight="1" thickBot="1">
      <c r="A125" s="95" t="s">
        <v>28</v>
      </c>
      <c r="B125" s="94" t="s">
        <v>29</v>
      </c>
      <c r="C125" s="23"/>
      <c r="D125" s="43">
        <v>0</v>
      </c>
      <c r="E125" s="6">
        <f>COUNTA(D125)</f>
        <v>1</v>
      </c>
      <c r="F125" s="65" t="str">
        <f>IF(E125=1," ","Не заполнено")</f>
        <v> </v>
      </c>
      <c r="G125" s="64">
        <f>IF(D125-D127&gt;=0,,"'НЕПРАВИЛЬНО! п.п.2.2.3. не может быть меньше из общ. числа (в СПО)!")</f>
        <v>0</v>
      </c>
      <c r="J125"/>
      <c r="K125"/>
    </row>
    <row r="126" spans="1:9" ht="15">
      <c r="A126" s="95"/>
      <c r="B126" s="133" t="s">
        <v>180</v>
      </c>
      <c r="C126" s="33"/>
      <c r="D126" s="176" t="s">
        <v>25</v>
      </c>
      <c r="E126" s="6"/>
      <c r="F126" s="65"/>
      <c r="H126"/>
      <c r="I126" s="156"/>
    </row>
    <row r="127" spans="1:10" ht="15">
      <c r="A127" s="95"/>
      <c r="B127" s="133" t="s">
        <v>181</v>
      </c>
      <c r="C127" s="33"/>
      <c r="D127" s="38">
        <v>0</v>
      </c>
      <c r="E127" s="6">
        <f>COUNTA(D127)</f>
        <v>1</v>
      </c>
      <c r="F127" s="65" t="str">
        <f>IF(E127=1," ","Не заполнено")</f>
        <v> </v>
      </c>
      <c r="H127"/>
      <c r="I127" s="156"/>
      <c r="J127"/>
    </row>
    <row r="128" spans="1:6" ht="16.5" thickBot="1">
      <c r="A128" s="121" t="s">
        <v>119</v>
      </c>
      <c r="B128" s="105" t="s">
        <v>32</v>
      </c>
      <c r="C128" s="15"/>
      <c r="D128" s="87" t="s">
        <v>25</v>
      </c>
      <c r="E128" s="6"/>
      <c r="F128" s="65"/>
    </row>
    <row r="129" spans="1:7" ht="17.25" thickBot="1">
      <c r="A129" s="95" t="s">
        <v>50</v>
      </c>
      <c r="B129" s="34" t="s">
        <v>172</v>
      </c>
      <c r="C129" s="23"/>
      <c r="D129" s="155">
        <f>(D117+D122)/(D48+D51)</f>
        <v>0.8706739526411658</v>
      </c>
      <c r="E129" s="6"/>
      <c r="F129" s="65"/>
      <c r="G129" s="167">
        <f>IF(D129&lt;=100%,0,"'НЕПРАВИЛЬНО! НЕ МОЖЕТ БЫТЬ больше 100%!")</f>
        <v>0</v>
      </c>
    </row>
    <row r="130" spans="1:6" ht="16.5" thickBot="1">
      <c r="A130" s="106" t="s">
        <v>120</v>
      </c>
      <c r="B130" s="105" t="s">
        <v>209</v>
      </c>
      <c r="C130" s="82"/>
      <c r="D130" s="81" t="s">
        <v>25</v>
      </c>
      <c r="E130" s="6"/>
      <c r="F130" s="65"/>
    </row>
    <row r="131" spans="1:7" ht="17.25" thickBot="1">
      <c r="A131" s="106" t="s">
        <v>57</v>
      </c>
      <c r="B131" s="34" t="s">
        <v>64</v>
      </c>
      <c r="C131" s="67"/>
      <c r="D131" s="181">
        <f>D117/D48</f>
        <v>0.8706739526411658</v>
      </c>
      <c r="E131" s="6"/>
      <c r="F131" s="65"/>
      <c r="G131" s="167">
        <f>IF(D131&lt;=100%,0,"'НЕПРАВИЛЬНО! НЕ МОЖЕТ БЫТЬ больше 100%!")</f>
        <v>0</v>
      </c>
    </row>
    <row r="132" spans="1:7" ht="17.25" thickBot="1">
      <c r="A132" s="107" t="s">
        <v>58</v>
      </c>
      <c r="B132" s="28" t="s">
        <v>170</v>
      </c>
      <c r="C132" s="67"/>
      <c r="D132" s="181" t="e">
        <f>D122/D51</f>
        <v>#DIV/0!</v>
      </c>
      <c r="E132" s="6"/>
      <c r="F132" s="65"/>
      <c r="G132" s="167" t="e">
        <f>IF(D132&lt;=100%,0,"'НЕПРАВИЛЬНО! НЕ МОЖЕТ БЫТЬ больше 100%!")</f>
        <v>#DIV/0!</v>
      </c>
    </row>
    <row r="133" spans="1:7" s="111" customFormat="1" ht="17.25" thickBot="1">
      <c r="A133" s="106" t="s">
        <v>106</v>
      </c>
      <c r="B133" s="130" t="s">
        <v>149</v>
      </c>
      <c r="C133" s="60"/>
      <c r="D133" s="181">
        <f>D121/D50</f>
        <v>0.6153846153846154</v>
      </c>
      <c r="E133" s="6"/>
      <c r="F133" s="65"/>
      <c r="G133" s="167">
        <f>IF(D133&lt;=100%,0,"'НЕПРАВИЛЬНО! НЕ МОЖЕТ БЫТЬ больше 100%!")</f>
        <v>0</v>
      </c>
    </row>
    <row r="134" spans="1:11" ht="16.5" thickBot="1">
      <c r="A134" s="121" t="s">
        <v>121</v>
      </c>
      <c r="B134" s="105" t="s">
        <v>33</v>
      </c>
      <c r="C134" s="31" t="s">
        <v>2</v>
      </c>
      <c r="D134" s="19">
        <f>D136+D139</f>
        <v>27</v>
      </c>
      <c r="E134" s="6"/>
      <c r="F134" s="65"/>
      <c r="K134"/>
    </row>
    <row r="135" spans="1:9" ht="15">
      <c r="A135" s="177"/>
      <c r="B135" s="8" t="s">
        <v>13</v>
      </c>
      <c r="C135" s="13"/>
      <c r="D135" s="176" t="s">
        <v>25</v>
      </c>
      <c r="E135" s="6"/>
      <c r="F135" s="65"/>
      <c r="I135" s="156"/>
    </row>
    <row r="136" spans="1:11" ht="15">
      <c r="A136" s="95" t="s">
        <v>182</v>
      </c>
      <c r="B136" s="133" t="s">
        <v>183</v>
      </c>
      <c r="C136" s="13"/>
      <c r="D136" s="161">
        <v>27</v>
      </c>
      <c r="E136" s="6">
        <f>COUNTA(D136)</f>
        <v>1</v>
      </c>
      <c r="F136" s="65" t="str">
        <f>IF(E136=1," ","Не заполнено")</f>
        <v> </v>
      </c>
      <c r="G136" s="64">
        <f>IF(D136-D138&gt;=0,,"'НЕПРАВИЛЬНО! п.п.2.5.1. не может быть меньше из них: (в СПО)!")</f>
        <v>0</v>
      </c>
      <c r="I136" s="156"/>
      <c r="J136"/>
      <c r="K136"/>
    </row>
    <row r="137" spans="1:9" ht="15">
      <c r="A137" s="106"/>
      <c r="B137" s="133" t="s">
        <v>184</v>
      </c>
      <c r="C137" s="13"/>
      <c r="D137" s="176" t="s">
        <v>25</v>
      </c>
      <c r="E137" s="6"/>
      <c r="F137" s="65"/>
      <c r="I137" s="156"/>
    </row>
    <row r="138" spans="1:9" ht="15">
      <c r="A138" s="106"/>
      <c r="B138" s="133" t="s">
        <v>185</v>
      </c>
      <c r="C138" s="13"/>
      <c r="D138" s="161">
        <v>0</v>
      </c>
      <c r="E138" s="6">
        <f>COUNTA(D138)</f>
        <v>1</v>
      </c>
      <c r="F138" s="65" t="str">
        <f>IF(E138=1," ","Не заполнено")</f>
        <v> </v>
      </c>
      <c r="I138" s="156"/>
    </row>
    <row r="139" spans="1:11" ht="15">
      <c r="A139" s="95" t="s">
        <v>186</v>
      </c>
      <c r="B139" s="133" t="s">
        <v>187</v>
      </c>
      <c r="C139" s="13"/>
      <c r="D139" s="161">
        <v>0</v>
      </c>
      <c r="E139" s="6">
        <f>COUNTA(D139)</f>
        <v>1</v>
      </c>
      <c r="F139" s="65" t="str">
        <f>IF(E139=1," ","Не заполнено")</f>
        <v> </v>
      </c>
      <c r="G139" s="64">
        <f>IF(D139-D141&gt;=0,,"'НЕПРАВИЛЬНО! п.п.2.5.2. не может быть меньше из них: (в СПО)!")</f>
        <v>0</v>
      </c>
      <c r="I139" s="156"/>
      <c r="J139"/>
      <c r="K139"/>
    </row>
    <row r="140" spans="1:9" ht="15">
      <c r="A140" s="177"/>
      <c r="B140" s="133" t="s">
        <v>184</v>
      </c>
      <c r="C140" s="13"/>
      <c r="D140" s="176" t="s">
        <v>25</v>
      </c>
      <c r="E140" s="6"/>
      <c r="F140" s="65"/>
      <c r="I140" s="156"/>
    </row>
    <row r="141" spans="1:9" ht="15.75" thickBot="1">
      <c r="A141" s="177"/>
      <c r="B141" s="133" t="s">
        <v>185</v>
      </c>
      <c r="C141" s="13"/>
      <c r="D141" s="162">
        <v>0</v>
      </c>
      <c r="E141" s="6">
        <f>COUNTA(D141)</f>
        <v>1</v>
      </c>
      <c r="F141" s="65" t="str">
        <f>IF(E141=1," ","Не заполнено")</f>
        <v> </v>
      </c>
      <c r="I141" s="156"/>
    </row>
    <row r="142" spans="1:11" ht="16.5" thickBot="1">
      <c r="A142" s="121" t="s">
        <v>122</v>
      </c>
      <c r="B142" s="105" t="s">
        <v>218</v>
      </c>
      <c r="C142" s="31" t="s">
        <v>2</v>
      </c>
      <c r="D142" s="163">
        <v>1</v>
      </c>
      <c r="E142" s="6">
        <f>COUNTA(D142)</f>
        <v>1</v>
      </c>
      <c r="F142" s="65" t="str">
        <f>IF(E142=1," ","Не заполнено")</f>
        <v> </v>
      </c>
      <c r="G142" s="64">
        <f>IF(D142-D144&gt;=0,,"'НЕПРАВИЛЬНО! п.2.6. не может быть меньше в т.ч. (в СПО)!")</f>
        <v>0</v>
      </c>
      <c r="I142" s="111"/>
      <c r="J142"/>
      <c r="K142"/>
    </row>
    <row r="143" spans="1:9" ht="15">
      <c r="A143" s="95"/>
      <c r="B143" s="133" t="s">
        <v>13</v>
      </c>
      <c r="C143" s="33"/>
      <c r="D143" s="176" t="s">
        <v>25</v>
      </c>
      <c r="E143" s="6"/>
      <c r="F143" s="65"/>
      <c r="H143"/>
      <c r="I143" s="156"/>
    </row>
    <row r="144" spans="1:9" ht="15.75" thickBot="1">
      <c r="A144" s="95"/>
      <c r="B144" s="133" t="s">
        <v>185</v>
      </c>
      <c r="C144" s="33"/>
      <c r="D144" s="38">
        <v>0</v>
      </c>
      <c r="E144" s="6">
        <f>COUNTA(D144)</f>
        <v>1</v>
      </c>
      <c r="F144" s="65" t="str">
        <f>IF(E144=1," ","Не заполнено")</f>
        <v> </v>
      </c>
      <c r="H144"/>
      <c r="I144" s="156"/>
    </row>
    <row r="145" spans="1:11" ht="16.5" thickBot="1">
      <c r="A145" s="121" t="s">
        <v>123</v>
      </c>
      <c r="B145" s="105" t="s">
        <v>34</v>
      </c>
      <c r="C145" s="33" t="s">
        <v>2</v>
      </c>
      <c r="D145" s="43">
        <v>0</v>
      </c>
      <c r="E145" s="6">
        <f>COUNTA(D145)</f>
        <v>1</v>
      </c>
      <c r="F145" s="65" t="str">
        <f>IF(E145=1," ","Не заполнено")</f>
        <v> </v>
      </c>
      <c r="G145" s="64">
        <f>IF(D145-D147&gt;=0,,"'НЕПРАВИЛЬНО! п.2.7. не может быть меньше в т.ч. (в СПО)!")</f>
        <v>0</v>
      </c>
      <c r="J145"/>
      <c r="K145"/>
    </row>
    <row r="146" spans="1:9" ht="15">
      <c r="A146" s="95"/>
      <c r="B146" s="133" t="s">
        <v>13</v>
      </c>
      <c r="C146" s="33"/>
      <c r="D146" s="80" t="s">
        <v>25</v>
      </c>
      <c r="E146" s="6"/>
      <c r="F146" s="65"/>
      <c r="H146"/>
      <c r="I146" s="156"/>
    </row>
    <row r="147" spans="1:9" ht="15" customHeight="1" thickBot="1">
      <c r="A147" s="95"/>
      <c r="B147" s="133" t="s">
        <v>185</v>
      </c>
      <c r="C147" s="33"/>
      <c r="D147" s="38">
        <v>0</v>
      </c>
      <c r="E147" s="6">
        <f>COUNTA(D147)</f>
        <v>1</v>
      </c>
      <c r="F147" s="65" t="str">
        <f>IF(E147=1," ","Не заполнено")</f>
        <v> </v>
      </c>
      <c r="H147"/>
      <c r="I147" s="156"/>
    </row>
    <row r="148" spans="1:6" ht="19.5" thickBot="1">
      <c r="A148" s="108" t="s">
        <v>38</v>
      </c>
      <c r="B148" s="104" t="s">
        <v>20</v>
      </c>
      <c r="C148" s="99"/>
      <c r="D148" s="63" t="s">
        <v>25</v>
      </c>
      <c r="E148" s="6"/>
      <c r="F148" s="65"/>
    </row>
    <row r="149" spans="1:6" ht="16.5" thickBot="1">
      <c r="A149" s="119" t="s">
        <v>40</v>
      </c>
      <c r="B149" s="12" t="s">
        <v>197</v>
      </c>
      <c r="C149" s="98" t="s">
        <v>2</v>
      </c>
      <c r="D149" s="112">
        <f>D150+D162</f>
        <v>152</v>
      </c>
      <c r="E149" s="6"/>
      <c r="F149" s="65"/>
    </row>
    <row r="150" spans="1:6" ht="17.25" thickBot="1">
      <c r="A150" s="106" t="s">
        <v>45</v>
      </c>
      <c r="B150" s="94" t="s">
        <v>46</v>
      </c>
      <c r="C150" s="31" t="s">
        <v>2</v>
      </c>
      <c r="D150" s="83">
        <f>D151+D153+D154+D156+D157+D158+D159+D160+D161</f>
        <v>130</v>
      </c>
      <c r="E150" s="6"/>
      <c r="F150" s="65"/>
    </row>
    <row r="151" spans="1:10" ht="15">
      <c r="A151" s="95" t="s">
        <v>68</v>
      </c>
      <c r="B151" s="75" t="s">
        <v>93</v>
      </c>
      <c r="C151" s="15"/>
      <c r="D151" s="41">
        <v>19</v>
      </c>
      <c r="E151" s="6">
        <f aca="true" t="shared" si="8" ref="E151:E181">COUNTA(D151)</f>
        <v>1</v>
      </c>
      <c r="F151" s="65" t="str">
        <f aca="true" t="shared" si="9" ref="F151:F161">IF(E151=1," ","Не заполнено")</f>
        <v> </v>
      </c>
      <c r="G151" s="167">
        <f>IF(D53-D151=0,,"'НЕПРАВИЛЬНО! НЕ РАВНО п.2.1.!")</f>
        <v>0</v>
      </c>
      <c r="J151"/>
    </row>
    <row r="152" spans="1:9" ht="15">
      <c r="A152" s="95"/>
      <c r="B152" s="178" t="s">
        <v>195</v>
      </c>
      <c r="C152" s="15"/>
      <c r="D152" s="41">
        <v>5</v>
      </c>
      <c r="E152" s="6">
        <f>COUNTA(D152)</f>
        <v>1</v>
      </c>
      <c r="F152" s="65" t="str">
        <f>IF(E152=1," ","Не заполнено")</f>
        <v> </v>
      </c>
      <c r="G152" s="167"/>
      <c r="I152" s="156"/>
    </row>
    <row r="153" spans="1:6" ht="15">
      <c r="A153" s="95" t="s">
        <v>76</v>
      </c>
      <c r="B153" s="75" t="s">
        <v>94</v>
      </c>
      <c r="C153" s="15"/>
      <c r="D153" s="38">
        <v>12</v>
      </c>
      <c r="E153" s="6">
        <f t="shared" si="8"/>
        <v>1</v>
      </c>
      <c r="F153" s="65" t="str">
        <f t="shared" si="9"/>
        <v> </v>
      </c>
    </row>
    <row r="154" spans="1:6" ht="15">
      <c r="A154" s="95" t="s">
        <v>75</v>
      </c>
      <c r="B154" s="75" t="s">
        <v>95</v>
      </c>
      <c r="C154" s="15"/>
      <c r="D154" s="38">
        <v>54</v>
      </c>
      <c r="E154" s="6">
        <f t="shared" si="8"/>
        <v>1</v>
      </c>
      <c r="F154" s="65" t="str">
        <f t="shared" si="9"/>
        <v> </v>
      </c>
    </row>
    <row r="155" spans="1:9" ht="15">
      <c r="A155" s="95"/>
      <c r="B155" s="179" t="s">
        <v>188</v>
      </c>
      <c r="C155" s="180"/>
      <c r="D155" s="161">
        <v>10</v>
      </c>
      <c r="E155" s="6">
        <f>COUNTA(D155)</f>
        <v>1</v>
      </c>
      <c r="F155" s="65" t="str">
        <f>IF(E155=1," ","Не заполнено")</f>
        <v> </v>
      </c>
      <c r="I155" s="111"/>
    </row>
    <row r="156" spans="1:6" ht="15">
      <c r="A156" s="95" t="s">
        <v>74</v>
      </c>
      <c r="B156" s="75" t="s">
        <v>104</v>
      </c>
      <c r="C156" s="16"/>
      <c r="D156" s="40">
        <v>33</v>
      </c>
      <c r="E156" s="6">
        <f t="shared" si="8"/>
        <v>1</v>
      </c>
      <c r="F156" s="65" t="str">
        <f t="shared" si="9"/>
        <v> </v>
      </c>
    </row>
    <row r="157" spans="1:10" ht="15">
      <c r="A157" s="95" t="s">
        <v>73</v>
      </c>
      <c r="B157" s="75" t="s">
        <v>96</v>
      </c>
      <c r="C157" s="21"/>
      <c r="D157" s="38">
        <v>12</v>
      </c>
      <c r="E157" s="6">
        <f t="shared" si="8"/>
        <v>1</v>
      </c>
      <c r="F157" s="65" t="str">
        <f t="shared" si="9"/>
        <v> </v>
      </c>
      <c r="G157" s="170"/>
      <c r="J157"/>
    </row>
    <row r="158" spans="1:6" ht="15">
      <c r="A158" s="95" t="s">
        <v>69</v>
      </c>
      <c r="B158" s="75" t="s">
        <v>97</v>
      </c>
      <c r="C158" s="15"/>
      <c r="D158" s="38">
        <v>0</v>
      </c>
      <c r="E158" s="6">
        <f t="shared" si="8"/>
        <v>1</v>
      </c>
      <c r="F158" s="65" t="str">
        <f t="shared" si="9"/>
        <v> </v>
      </c>
    </row>
    <row r="159" spans="1:10" ht="15">
      <c r="A159" s="95" t="s">
        <v>70</v>
      </c>
      <c r="B159" s="75" t="s">
        <v>98</v>
      </c>
      <c r="C159" s="20"/>
      <c r="D159" s="38">
        <v>0</v>
      </c>
      <c r="E159" s="6">
        <f t="shared" si="8"/>
        <v>1</v>
      </c>
      <c r="F159" s="65" t="str">
        <f t="shared" si="9"/>
        <v> </v>
      </c>
      <c r="G159" s="167">
        <f>IF(D159-D54=0,,"'НЕПРАВИЛЬНО! НЕ РАВНО п.п.2.1.1. (в них: - проф. орг. структурн. подразд.)!")</f>
        <v>0</v>
      </c>
      <c r="J159"/>
    </row>
    <row r="160" spans="1:6" ht="15">
      <c r="A160" s="95" t="s">
        <v>72</v>
      </c>
      <c r="B160" s="75" t="s">
        <v>105</v>
      </c>
      <c r="C160" s="15"/>
      <c r="D160" s="38">
        <v>0</v>
      </c>
      <c r="E160" s="6">
        <f t="shared" si="8"/>
        <v>1</v>
      </c>
      <c r="F160" s="65" t="str">
        <f t="shared" si="9"/>
        <v> </v>
      </c>
    </row>
    <row r="161" spans="1:11" ht="15.75" thickBot="1">
      <c r="A161" s="95" t="s">
        <v>71</v>
      </c>
      <c r="B161" s="75" t="s">
        <v>99</v>
      </c>
      <c r="C161" s="15"/>
      <c r="D161" s="40">
        <v>0</v>
      </c>
      <c r="E161" s="6">
        <f t="shared" si="8"/>
        <v>1</v>
      </c>
      <c r="F161" s="65" t="str">
        <f t="shared" si="9"/>
        <v> </v>
      </c>
      <c r="G161" s="167">
        <f>IF(D161-D55=0,,"'НЕПРАВИЛЬНО! НЕ РАВНО п.п.2.1.1. (в них: - проф. групп)!")</f>
        <v>0</v>
      </c>
      <c r="H161" s="22"/>
      <c r="I161" s="22"/>
      <c r="J161" s="22"/>
      <c r="K161" s="22"/>
    </row>
    <row r="162" spans="1:11" ht="17.25" thickBot="1">
      <c r="A162" s="106" t="s">
        <v>67</v>
      </c>
      <c r="B162" s="94" t="s">
        <v>51</v>
      </c>
      <c r="C162" s="98" t="s">
        <v>2</v>
      </c>
      <c r="D162" s="69">
        <f>D163+D164+D165+D168+D169</f>
        <v>22</v>
      </c>
      <c r="E162" s="6"/>
      <c r="F162" s="65"/>
      <c r="G162" s="171"/>
      <c r="H162" s="22"/>
      <c r="I162" s="22"/>
      <c r="J162" s="22"/>
      <c r="K162" s="22"/>
    </row>
    <row r="163" spans="1:11" ht="15">
      <c r="A163" s="95" t="s">
        <v>77</v>
      </c>
      <c r="B163" s="75" t="s">
        <v>78</v>
      </c>
      <c r="C163" s="15"/>
      <c r="D163" s="41">
        <v>1</v>
      </c>
      <c r="E163" s="6">
        <f t="shared" si="8"/>
        <v>1</v>
      </c>
      <c r="F163" s="65" t="str">
        <f aca="true" t="shared" si="10" ref="F163:F169">IF(E163=1," ","Не заполнено")</f>
        <v> </v>
      </c>
      <c r="G163" s="171"/>
      <c r="H163" s="22"/>
      <c r="I163" s="22"/>
      <c r="J163" s="22"/>
      <c r="K163" s="22"/>
    </row>
    <row r="164" spans="1:11" ht="15">
      <c r="A164" s="95" t="s">
        <v>79</v>
      </c>
      <c r="B164" s="75" t="s">
        <v>100</v>
      </c>
      <c r="C164" s="15"/>
      <c r="D164" s="38">
        <v>1</v>
      </c>
      <c r="E164" s="6">
        <f t="shared" si="8"/>
        <v>1</v>
      </c>
      <c r="F164" s="65" t="str">
        <f t="shared" si="10"/>
        <v> </v>
      </c>
      <c r="G164" s="171"/>
      <c r="H164" s="22"/>
      <c r="I164" s="22"/>
      <c r="J164" s="22"/>
      <c r="K164" s="22"/>
    </row>
    <row r="165" spans="1:11" ht="15">
      <c r="A165" s="95" t="s">
        <v>80</v>
      </c>
      <c r="B165" s="75" t="s">
        <v>101</v>
      </c>
      <c r="C165" s="15"/>
      <c r="D165" s="38">
        <v>19</v>
      </c>
      <c r="E165" s="6">
        <f t="shared" si="8"/>
        <v>1</v>
      </c>
      <c r="F165" s="65" t="str">
        <f t="shared" si="10"/>
        <v> </v>
      </c>
      <c r="G165" s="171"/>
      <c r="H165" s="22"/>
      <c r="I165" s="22"/>
      <c r="J165" s="22"/>
      <c r="K165" s="22"/>
    </row>
    <row r="166" spans="1:11" ht="15">
      <c r="A166" s="95"/>
      <c r="B166" s="179" t="s">
        <v>188</v>
      </c>
      <c r="C166" s="15"/>
      <c r="D166" s="38">
        <v>1</v>
      </c>
      <c r="E166" s="6">
        <f>COUNTA(D166)</f>
        <v>1</v>
      </c>
      <c r="F166" s="65" t="str">
        <f t="shared" si="10"/>
        <v> </v>
      </c>
      <c r="G166" s="171"/>
      <c r="H166" s="22"/>
      <c r="I166" s="111"/>
      <c r="J166" s="22"/>
      <c r="K166" s="22"/>
    </row>
    <row r="167" spans="1:11" ht="15">
      <c r="A167" s="95"/>
      <c r="B167" s="179" t="s">
        <v>196</v>
      </c>
      <c r="C167" s="15"/>
      <c r="D167" s="38">
        <v>1</v>
      </c>
      <c r="E167" s="6">
        <f>COUNTA(D167)</f>
        <v>1</v>
      </c>
      <c r="F167" s="65" t="str">
        <f>IF(E167=1," ","Не заполнено")</f>
        <v> </v>
      </c>
      <c r="G167" s="171"/>
      <c r="H167" s="22"/>
      <c r="I167" s="111"/>
      <c r="J167" s="22"/>
      <c r="K167" s="22"/>
    </row>
    <row r="168" spans="1:11" ht="15">
      <c r="A168" s="95" t="s">
        <v>81</v>
      </c>
      <c r="B168" s="75" t="s">
        <v>102</v>
      </c>
      <c r="C168" s="15"/>
      <c r="D168" s="38">
        <v>0</v>
      </c>
      <c r="E168" s="6">
        <f t="shared" si="8"/>
        <v>1</v>
      </c>
      <c r="F168" s="65" t="str">
        <f t="shared" si="10"/>
        <v> </v>
      </c>
      <c r="G168" s="171"/>
      <c r="H168" s="22"/>
      <c r="I168" s="22"/>
      <c r="J168" s="22"/>
      <c r="K168" s="22"/>
    </row>
    <row r="169" spans="1:11" ht="15.75" thickBot="1">
      <c r="A169" s="95" t="s">
        <v>82</v>
      </c>
      <c r="B169" s="75" t="s">
        <v>133</v>
      </c>
      <c r="C169" s="15"/>
      <c r="D169" s="38">
        <v>1</v>
      </c>
      <c r="E169" s="6">
        <f t="shared" si="8"/>
        <v>1</v>
      </c>
      <c r="F169" s="65" t="str">
        <f t="shared" si="10"/>
        <v> </v>
      </c>
      <c r="G169" s="172"/>
      <c r="H169" s="22"/>
      <c r="I169" s="22"/>
      <c r="J169" s="22"/>
      <c r="K169" s="22"/>
    </row>
    <row r="170" spans="1:11" ht="19.5" thickBot="1">
      <c r="A170" s="103" t="s">
        <v>19</v>
      </c>
      <c r="B170" s="104" t="s">
        <v>198</v>
      </c>
      <c r="C170" s="24"/>
      <c r="D170" s="63" t="s">
        <v>25</v>
      </c>
      <c r="E170" s="6"/>
      <c r="F170" s="65"/>
      <c r="G170" s="171"/>
      <c r="H170" s="22"/>
      <c r="I170" s="22"/>
      <c r="J170" s="22"/>
      <c r="K170" s="22"/>
    </row>
    <row r="171" spans="1:9" ht="16.5" thickBot="1">
      <c r="A171" s="119" t="s">
        <v>59</v>
      </c>
      <c r="B171" s="96" t="s">
        <v>124</v>
      </c>
      <c r="C171" s="100" t="s">
        <v>2</v>
      </c>
      <c r="D171" s="19">
        <f>D172+D179+D184</f>
        <v>2</v>
      </c>
      <c r="E171" s="6"/>
      <c r="F171" s="65"/>
      <c r="I171"/>
    </row>
    <row r="172" spans="1:6" ht="17.25" thickBot="1">
      <c r="A172" s="124" t="s">
        <v>83</v>
      </c>
      <c r="B172" s="101" t="s">
        <v>60</v>
      </c>
      <c r="C172" s="152" t="s">
        <v>2</v>
      </c>
      <c r="D172" s="19">
        <f>D174+D175+D176+D177+D178</f>
        <v>2</v>
      </c>
      <c r="E172" s="6"/>
      <c r="F172" s="65"/>
    </row>
    <row r="173" spans="1:6" ht="15">
      <c r="A173" s="125"/>
      <c r="B173" s="91" t="s">
        <v>13</v>
      </c>
      <c r="C173" s="89"/>
      <c r="D173" s="62" t="s">
        <v>25</v>
      </c>
      <c r="E173" s="6"/>
      <c r="F173" s="65"/>
    </row>
    <row r="174" spans="1:6" ht="15">
      <c r="A174" s="95" t="s">
        <v>84</v>
      </c>
      <c r="B174" s="92" t="s">
        <v>139</v>
      </c>
      <c r="C174" s="90"/>
      <c r="D174" s="132">
        <v>1</v>
      </c>
      <c r="E174" s="6">
        <f>COUNTA(D174)</f>
        <v>1</v>
      </c>
      <c r="F174" s="65" t="str">
        <f>IF(E174=1," ","Не заполнено")</f>
        <v> </v>
      </c>
    </row>
    <row r="175" spans="1:6" ht="15">
      <c r="A175" s="95" t="s">
        <v>85</v>
      </c>
      <c r="B175" s="8" t="s">
        <v>140</v>
      </c>
      <c r="C175" s="15"/>
      <c r="D175" s="38">
        <v>0</v>
      </c>
      <c r="E175" s="6">
        <f>COUNTA(D175)</f>
        <v>1</v>
      </c>
      <c r="F175" s="65" t="str">
        <f>IF(E175=1," ","Не заполнено")</f>
        <v> </v>
      </c>
    </row>
    <row r="176" spans="1:6" ht="15">
      <c r="A176" s="95" t="s">
        <v>86</v>
      </c>
      <c r="B176" s="8" t="s">
        <v>143</v>
      </c>
      <c r="C176" s="15"/>
      <c r="D176" s="38">
        <v>1</v>
      </c>
      <c r="E176" s="6">
        <f>COUNTA(D176)</f>
        <v>1</v>
      </c>
      <c r="F176" s="65" t="str">
        <f>IF(E176=1," ","Не заполнено")</f>
        <v> </v>
      </c>
    </row>
    <row r="177" spans="1:6" ht="15">
      <c r="A177" s="95" t="s">
        <v>87</v>
      </c>
      <c r="B177" s="8" t="s">
        <v>138</v>
      </c>
      <c r="C177" s="14"/>
      <c r="D177" s="38">
        <v>0</v>
      </c>
      <c r="E177" s="6">
        <f>COUNTA(D177)</f>
        <v>1</v>
      </c>
      <c r="F177" s="65" t="str">
        <f>IF(E177=1," ","Не заполнено")</f>
        <v> </v>
      </c>
    </row>
    <row r="178" spans="1:6" ht="15.75" thickBot="1">
      <c r="A178" s="95" t="s">
        <v>88</v>
      </c>
      <c r="B178" s="8" t="s">
        <v>141</v>
      </c>
      <c r="C178" s="15"/>
      <c r="D178" s="38">
        <v>0</v>
      </c>
      <c r="E178" s="6">
        <f>COUNTA(D178)</f>
        <v>1</v>
      </c>
      <c r="F178" s="65" t="str">
        <f>IF(E178=1," ","Не заполнено")</f>
        <v> </v>
      </c>
    </row>
    <row r="179" spans="1:6" ht="17.25" thickBot="1">
      <c r="A179" s="106" t="s">
        <v>89</v>
      </c>
      <c r="B179" s="102" t="s">
        <v>199</v>
      </c>
      <c r="C179" s="88" t="s">
        <v>2</v>
      </c>
      <c r="D179" s="19">
        <f>D181+D182+D183</f>
        <v>0</v>
      </c>
      <c r="E179" s="6"/>
      <c r="F179" s="65"/>
    </row>
    <row r="180" spans="1:6" ht="15">
      <c r="A180" s="53"/>
      <c r="B180" s="8" t="s">
        <v>13</v>
      </c>
      <c r="C180" s="89"/>
      <c r="D180" s="62" t="s">
        <v>25</v>
      </c>
      <c r="E180" s="6"/>
      <c r="F180" s="65"/>
    </row>
    <row r="181" spans="1:6" ht="15">
      <c r="A181" s="95" t="s">
        <v>90</v>
      </c>
      <c r="B181" s="27" t="s">
        <v>139</v>
      </c>
      <c r="C181" s="90"/>
      <c r="D181" s="182">
        <v>0</v>
      </c>
      <c r="E181" s="6">
        <f t="shared" si="8"/>
        <v>1</v>
      </c>
      <c r="F181" s="65" t="str">
        <f>IF(E181=1," ","Не заполнено")</f>
        <v> </v>
      </c>
    </row>
    <row r="182" spans="1:6" ht="15">
      <c r="A182" s="95" t="s">
        <v>91</v>
      </c>
      <c r="B182" s="8" t="s">
        <v>140</v>
      </c>
      <c r="C182" s="15"/>
      <c r="D182" s="38">
        <v>0</v>
      </c>
      <c r="E182" s="6">
        <f>COUNTA(D182)</f>
        <v>1</v>
      </c>
      <c r="F182" s="65" t="str">
        <f>IF(E182=1," ","Не заполнено")</f>
        <v> </v>
      </c>
    </row>
    <row r="183" spans="1:6" ht="15.75" thickBot="1">
      <c r="A183" s="95" t="s">
        <v>92</v>
      </c>
      <c r="B183" s="8" t="s">
        <v>141</v>
      </c>
      <c r="C183" s="15"/>
      <c r="D183" s="38">
        <v>0</v>
      </c>
      <c r="E183" s="6">
        <f>COUNTA(D183)</f>
        <v>1</v>
      </c>
      <c r="F183" s="65" t="str">
        <f>IF(E183=1," ","Не заполнено")</f>
        <v> </v>
      </c>
    </row>
    <row r="184" spans="1:9" ht="17.25" thickBot="1">
      <c r="A184" s="106" t="s">
        <v>134</v>
      </c>
      <c r="B184" s="102" t="s">
        <v>200</v>
      </c>
      <c r="C184" s="88" t="s">
        <v>2</v>
      </c>
      <c r="D184" s="19">
        <f>D186+D187+D188+D189</f>
        <v>0</v>
      </c>
      <c r="E184" s="6"/>
      <c r="F184" s="65"/>
      <c r="I184" s="64"/>
    </row>
    <row r="185" spans="1:6" ht="15">
      <c r="A185" s="53"/>
      <c r="B185" s="8" t="s">
        <v>13</v>
      </c>
      <c r="C185" s="89"/>
      <c r="D185" s="62" t="s">
        <v>25</v>
      </c>
      <c r="E185" s="6"/>
      <c r="F185" s="65"/>
    </row>
    <row r="186" spans="1:6" ht="15">
      <c r="A186" s="95" t="s">
        <v>135</v>
      </c>
      <c r="B186" s="27" t="s">
        <v>139</v>
      </c>
      <c r="C186" s="90"/>
      <c r="D186" s="132">
        <v>0</v>
      </c>
      <c r="E186" s="6">
        <f>COUNTA(D186)</f>
        <v>1</v>
      </c>
      <c r="F186" s="65" t="str">
        <f>IF(E186=1," ","Не заполнено")</f>
        <v> </v>
      </c>
    </row>
    <row r="187" spans="1:9" ht="15">
      <c r="A187" s="95" t="s">
        <v>136</v>
      </c>
      <c r="B187" s="8" t="s">
        <v>140</v>
      </c>
      <c r="C187" s="15"/>
      <c r="D187" s="38">
        <v>0</v>
      </c>
      <c r="E187" s="6">
        <f>COUNTA(D187)</f>
        <v>1</v>
      </c>
      <c r="F187" s="65" t="str">
        <f>IF(E187=1," ","Не заполнено")</f>
        <v> </v>
      </c>
      <c r="I187"/>
    </row>
    <row r="188" spans="1:9" ht="15">
      <c r="A188" s="95" t="s">
        <v>137</v>
      </c>
      <c r="B188" s="8" t="s">
        <v>138</v>
      </c>
      <c r="C188" s="15"/>
      <c r="D188" s="38">
        <v>0</v>
      </c>
      <c r="E188" s="6">
        <f>COUNTA(D188)</f>
        <v>1</v>
      </c>
      <c r="F188" s="65" t="str">
        <f>IF(E188=1," ","Не заполнено")</f>
        <v> </v>
      </c>
      <c r="I188"/>
    </row>
    <row r="189" spans="1:6" ht="15.75" thickBot="1">
      <c r="A189" s="95" t="s">
        <v>142</v>
      </c>
      <c r="B189" s="8" t="s">
        <v>141</v>
      </c>
      <c r="C189" s="15"/>
      <c r="D189" s="38">
        <v>0</v>
      </c>
      <c r="E189" s="6">
        <f>COUNTA(D189)</f>
        <v>1</v>
      </c>
      <c r="F189" s="65" t="str">
        <f>IF(E189=1," ","Не заполнено")</f>
        <v> </v>
      </c>
    </row>
    <row r="190" spans="1:6" ht="19.5" thickBot="1">
      <c r="A190" s="103" t="s">
        <v>21</v>
      </c>
      <c r="B190" s="109" t="s">
        <v>23</v>
      </c>
      <c r="C190" s="24"/>
      <c r="D190" s="63" t="s">
        <v>25</v>
      </c>
      <c r="F190" s="65"/>
    </row>
    <row r="191" spans="1:6" ht="16.5" thickBot="1">
      <c r="A191" s="121" t="s">
        <v>125</v>
      </c>
      <c r="B191" s="105" t="s">
        <v>144</v>
      </c>
      <c r="C191" s="47" t="s">
        <v>2</v>
      </c>
      <c r="D191" s="43">
        <v>3</v>
      </c>
      <c r="E191" s="6">
        <f>COUNTA(D191)</f>
        <v>1</v>
      </c>
      <c r="F191" s="65" t="str">
        <f>IF(E191=1," ","Не заполнено")</f>
        <v> </v>
      </c>
    </row>
    <row r="192" spans="1:9" ht="16.5" thickBot="1">
      <c r="A192" s="121" t="s">
        <v>126</v>
      </c>
      <c r="B192" s="105" t="s">
        <v>201</v>
      </c>
      <c r="C192" s="13" t="s">
        <v>2</v>
      </c>
      <c r="D192" s="19">
        <f>SUM(D194+D195+D196)</f>
        <v>19</v>
      </c>
      <c r="E192" s="6"/>
      <c r="F192" s="65"/>
      <c r="I192" s="64"/>
    </row>
    <row r="193" spans="1:6" ht="15">
      <c r="A193" s="51"/>
      <c r="B193" s="27" t="s">
        <v>22</v>
      </c>
      <c r="C193" s="25"/>
      <c r="D193" s="80" t="s">
        <v>25</v>
      </c>
      <c r="F193" s="65"/>
    </row>
    <row r="194" spans="1:10" ht="15">
      <c r="A194" s="95" t="s">
        <v>41</v>
      </c>
      <c r="B194" s="8" t="s">
        <v>103</v>
      </c>
      <c r="C194" s="15"/>
      <c r="D194" s="38">
        <v>19</v>
      </c>
      <c r="E194" s="6">
        <f>COUNTA(D194)</f>
        <v>1</v>
      </c>
      <c r="F194" s="65" t="str">
        <f>IF(E194=1," ","Не заполнено")</f>
        <v> </v>
      </c>
      <c r="G194" s="64">
        <f>IF(D194-D151&lt;=0,,"'НЕПРАВИЛЬНО! п.п.5.2.1. не может быть больше п.п.3.1.1.1.!")</f>
        <v>0</v>
      </c>
      <c r="J194"/>
    </row>
    <row r="195" spans="1:10" ht="15">
      <c r="A195" s="95" t="s">
        <v>42</v>
      </c>
      <c r="B195" s="8" t="s">
        <v>36</v>
      </c>
      <c r="C195" s="115"/>
      <c r="D195" s="40">
        <v>0</v>
      </c>
      <c r="E195" s="6">
        <f>COUNTA(D195)</f>
        <v>1</v>
      </c>
      <c r="F195" s="65" t="str">
        <f>IF(E195=1," ","Не заполнено")</f>
        <v> </v>
      </c>
      <c r="G195" s="64">
        <f>IF(D195-D157&lt;=0,,"'НЕПРАВИЛЬНО! п.п.5.2.2. не может быть больше п.п.3.1.1.5.!")</f>
        <v>0</v>
      </c>
      <c r="J195"/>
    </row>
    <row r="196" spans="1:6" ht="15.75" thickBot="1">
      <c r="A196" s="150" t="s">
        <v>127</v>
      </c>
      <c r="B196" s="137" t="s">
        <v>145</v>
      </c>
      <c r="C196" s="79"/>
      <c r="D196" s="39">
        <v>0</v>
      </c>
      <c r="E196" s="6">
        <f>COUNTA(D196)</f>
        <v>1</v>
      </c>
      <c r="F196" s="65" t="str">
        <f>IF(E196=1," ","Не заполнено")</f>
        <v> </v>
      </c>
    </row>
    <row r="197" spans="1:6" ht="15">
      <c r="A197" s="85"/>
      <c r="B197" s="8"/>
      <c r="C197" s="9"/>
      <c r="D197" s="86"/>
      <c r="E197" s="6"/>
      <c r="F197" s="65"/>
    </row>
    <row r="198" spans="2:6" ht="14.25">
      <c r="B198" s="26" t="s">
        <v>24</v>
      </c>
      <c r="C198" s="9"/>
      <c r="D198" s="36"/>
      <c r="E198" s="6"/>
      <c r="F198" s="65"/>
    </row>
    <row r="199" spans="2:6" ht="14.25">
      <c r="B199" s="26" t="s">
        <v>55</v>
      </c>
      <c r="C199" s="9"/>
      <c r="D199" s="36"/>
      <c r="E199" s="6"/>
      <c r="F199" s="65"/>
    </row>
    <row r="200" spans="2:6" ht="17.25" customHeight="1">
      <c r="B200" s="93" t="s">
        <v>224</v>
      </c>
      <c r="C200" s="9"/>
      <c r="D200" s="36"/>
      <c r="E200" s="6">
        <f>COUNTA(B200)</f>
        <v>1</v>
      </c>
      <c r="F200" s="65" t="str">
        <f>IF(E200=1," ","Не заполнено")</f>
        <v> </v>
      </c>
    </row>
    <row r="201" spans="2:4" ht="12.75">
      <c r="B201" s="76" t="s">
        <v>54</v>
      </c>
      <c r="C201" s="9"/>
      <c r="D201" s="36"/>
    </row>
    <row r="202" spans="3:5" ht="12.75">
      <c r="C202" s="9"/>
      <c r="D202" s="4"/>
      <c r="E202" s="160">
        <f>E7+E12+E13+E14+E15+E16+E23+E24+E25+E19+E20+E21+E22+E26+E27+E28+E29+E30+E31+E32+E33+E34+E35+E36+E37+E38+E39+E40+E41+E42+E43+E44+E45+E46+E47+E54+E55+E56+E57+E58+E59+E60+E61+E62+E63+E64+E65+E66+E67+E70+E71+E72+E73+E74+E75+E76+E77+E78+E79+E80+E83+E84+E85+E86+E87+E88+E89+E90+E91+E92+E93+E94+E95+E96+E97+E98+E99+E100+E101+E102+E104+E105+E109+E111+E112+E114+E119+E124+E125+E127+E134+E136+E138+E139+E141+E142+E144+E145+E147+E151+E152+E153+E154+E155+E156+E157+E158+E159+E160+E161+E163+E164+E165+E166+E168+E169+E174+E175+E176+E177+E178+E181+E182+E183+E186+E187+E188+E189+E191+E194+E195+E196+E200</f>
        <v>129</v>
      </c>
    </row>
    <row r="203" spans="3:4" ht="12.75">
      <c r="C203"/>
      <c r="D203" s="4"/>
    </row>
    <row r="204" spans="1:4" ht="12.75">
      <c r="A204" s="5"/>
      <c r="C204"/>
      <c r="D204" s="4"/>
    </row>
    <row r="205" spans="1:4" ht="12.75">
      <c r="A205" s="5"/>
      <c r="B205" s="189" t="str">
        <f>IF(E202=129,"Спасибо, Вы заполнили все необходимые ячейки, отчет принимается к рассмотрению содержания по существу.","   ")</f>
        <v>Спасибо, Вы заполнили все необходимые ячейки, отчет принимается к рассмотрению содержания по существу.</v>
      </c>
      <c r="C205" s="189"/>
      <c r="D205" s="4"/>
    </row>
    <row r="206" spans="1:4" ht="12.75">
      <c r="A206" s="5"/>
      <c r="B206" s="189"/>
      <c r="C206" s="189"/>
      <c r="D206" s="4"/>
    </row>
    <row r="207" spans="1:4" ht="12.75">
      <c r="A207" s="5"/>
      <c r="B207" s="183">
        <f>IF(E202&lt;129,"Не заполнены ВСЕ обязательные для заполнения ячейки. Красных слов НЕ ЗАПОЛНЕНО быть не должно! Отчет НЕ МОЖЕТ БЫТЬ ПРИНЯТ к зачету И БУДЕТ ВОЗВРАЩЕН на доработку!","")</f>
      </c>
      <c r="C207" s="183"/>
      <c r="D207" s="4"/>
    </row>
    <row r="208" spans="1:4" ht="12.75">
      <c r="A208" s="5"/>
      <c r="B208" s="183"/>
      <c r="C208" s="183"/>
      <c r="D208" s="4"/>
    </row>
    <row r="209" spans="1:4" ht="12.75">
      <c r="A209" s="5"/>
      <c r="B209" s="183"/>
      <c r="C209" s="183"/>
      <c r="D209" s="4"/>
    </row>
    <row r="210" spans="1:4" ht="12.75">
      <c r="A210" s="5"/>
      <c r="B210" s="183"/>
      <c r="C210" s="183"/>
      <c r="D210" s="4"/>
    </row>
    <row r="211" spans="1:4" ht="12.75">
      <c r="A211" s="5"/>
      <c r="C211" s="9"/>
      <c r="D211" s="4"/>
    </row>
    <row r="212" spans="1:4" ht="12.75">
      <c r="A212" s="5"/>
      <c r="C212" s="9"/>
      <c r="D212" s="4"/>
    </row>
    <row r="213" spans="1:4" ht="12.75">
      <c r="A213" s="5"/>
      <c r="C213" s="9"/>
      <c r="D213" s="4"/>
    </row>
    <row r="214" spans="1:4" ht="12.75">
      <c r="A214" s="5"/>
      <c r="C214" s="9"/>
      <c r="D214" s="4"/>
    </row>
    <row r="215" spans="1:4" ht="12.75">
      <c r="A215" s="5"/>
      <c r="C215" s="9"/>
      <c r="D215" s="4"/>
    </row>
  </sheetData>
  <sheetProtection password="CF81" sheet="1" selectLockedCells="1"/>
  <mergeCells count="7">
    <mergeCell ref="B207:C210"/>
    <mergeCell ref="A4:D4"/>
    <mergeCell ref="A5:D5"/>
    <mergeCell ref="A6:D6"/>
    <mergeCell ref="A8:D8"/>
    <mergeCell ref="B7:C7"/>
    <mergeCell ref="B205:C206"/>
  </mergeCells>
  <conditionalFormatting sqref="G151:G152 G54:G55">
    <cfRule type="cellIs" priority="231" dxfId="41" operator="lessThan">
      <formula>0</formula>
    </cfRule>
    <cfRule type="containsText" priority="232" dxfId="41" operator="containsText" text="НЕПРАВИЛЬНО">
      <formula>NOT(ISERROR(SEARCH("НЕПРАВИЛЬНО",G54)))</formula>
    </cfRule>
  </conditionalFormatting>
  <conditionalFormatting sqref="G194:G196 G65:G67 H81 G35 G40 G19 G12:G16 G26:G30 G45:G47 G99:G102 G105:G109 G112 G117 G122 G125 G136 G139 G142 G145">
    <cfRule type="cellIs" priority="230" dxfId="41" operator="greaterThan">
      <formula>0</formula>
    </cfRule>
  </conditionalFormatting>
  <conditionalFormatting sqref="G53">
    <cfRule type="cellIs" priority="228" dxfId="41" operator="greaterThan">
      <formula>0</formula>
    </cfRule>
    <cfRule type="cellIs" priority="229" dxfId="41" operator="lessThan">
      <formula>0</formula>
    </cfRule>
  </conditionalFormatting>
  <conditionalFormatting sqref="G99:G101 G14:G16 G45:G47">
    <cfRule type="cellIs" priority="222" dxfId="41" operator="greaterThan">
      <formula>0</formula>
    </cfRule>
    <cfRule type="cellIs" priority="223" dxfId="41" operator="greaterThan">
      <formula>0</formula>
    </cfRule>
  </conditionalFormatting>
  <conditionalFormatting sqref="G12">
    <cfRule type="cellIs" priority="215" dxfId="41" operator="greaterThan">
      <formula>"+"</formula>
    </cfRule>
  </conditionalFormatting>
  <conditionalFormatting sqref="G115">
    <cfRule type="cellIs" priority="197" dxfId="41" operator="greaterThan">
      <formula>0</formula>
    </cfRule>
    <cfRule type="cellIs" priority="214" dxfId="42" operator="notEqual">
      <formula>0</formula>
    </cfRule>
  </conditionalFormatting>
  <conditionalFormatting sqref="G129">
    <cfRule type="cellIs" priority="25" dxfId="41" operator="greaterThan">
      <formula>0</formula>
    </cfRule>
    <cfRule type="containsText" priority="212" dxfId="3" operator="containsText" text="0">
      <formula>NOT(ISERROR(SEARCH("0",G129)))</formula>
    </cfRule>
    <cfRule type="containsText" priority="213" dxfId="41" operator="containsText" text="НЕПРАВИЛЬНО">
      <formula>NOT(ISERROR(SEARCH("НЕПРАВИЛЬНО",G129)))</formula>
    </cfRule>
  </conditionalFormatting>
  <conditionalFormatting sqref="G131:G133">
    <cfRule type="containsText" priority="211" dxfId="41" operator="containsText" text="НЕПРАВИЛЬНО">
      <formula>NOT(ISERROR(SEARCH("НЕПРАВИЛЬНО",G131)))</formula>
    </cfRule>
  </conditionalFormatting>
  <conditionalFormatting sqref="A2">
    <cfRule type="cellIs" priority="1" dxfId="26" operator="notEqual" stopIfTrue="1">
      <formula>129</formula>
    </cfRule>
    <cfRule type="cellIs" priority="3" dxfId="41" operator="equal">
      <formula>0</formula>
    </cfRule>
    <cfRule type="cellIs" priority="4" dxfId="24" operator="equal">
      <formula>0</formula>
    </cfRule>
    <cfRule type="cellIs" priority="5" dxfId="24" operator="greaterThan">
      <formula>0</formula>
    </cfRule>
    <cfRule type="cellIs" priority="9" dxfId="3" operator="greaterThan">
      <formula>0</formula>
    </cfRule>
    <cfRule type="cellIs" priority="11" dxfId="24" operator="equal">
      <formula>133</formula>
    </cfRule>
    <cfRule type="cellIs" priority="208" dxfId="43" operator="lessThan">
      <formula>111</formula>
    </cfRule>
    <cfRule type="cellIs" priority="209" dxfId="44" operator="equal" stopIfTrue="1">
      <formula>29</formula>
    </cfRule>
  </conditionalFormatting>
  <conditionalFormatting sqref="G157">
    <cfRule type="containsText" priority="207" dxfId="41" operator="containsText" text="НЕПРАВИЛЬНО">
      <formula>NOT(ISERROR(SEARCH("НЕПРАВИЛЬНО",G157)))</formula>
    </cfRule>
  </conditionalFormatting>
  <conditionalFormatting sqref="G169">
    <cfRule type="containsText" priority="206" dxfId="41" operator="containsText" text="НЕПРАВИЛЬНО">
      <formula>NOT(ISERROR(SEARCH("НЕПРАВИЛЬНО",G169)))</formula>
    </cfRule>
  </conditionalFormatting>
  <conditionalFormatting sqref="G161">
    <cfRule type="cellIs" priority="204" dxfId="41" operator="lessThan">
      <formula>0</formula>
    </cfRule>
    <cfRule type="containsText" priority="205" dxfId="41" operator="containsText" text="НЕПРАВИЛЬНО">
      <formula>NOT(ISERROR(SEARCH("НЕПРАВИЛЬНО",G161)))</formula>
    </cfRule>
  </conditionalFormatting>
  <conditionalFormatting sqref="G159">
    <cfRule type="cellIs" priority="200" dxfId="41" operator="lessThan">
      <formula>0</formula>
    </cfRule>
    <cfRule type="containsText" priority="201" dxfId="41" operator="containsText" text="НЕПРАВИЛЬНО">
      <formula>NOT(ISERROR(SEARCH("НЕПРАВИЛЬНО",G159)))</formula>
    </cfRule>
  </conditionalFormatting>
  <conditionalFormatting sqref="G71:G74 G80 G76:G78 G95:G97 H82:H93 G84:G87 G89:G91 G93 G31:G34 G41:G43 G36:G39 G20:G25 G58:G63">
    <cfRule type="cellIs" priority="194" dxfId="41" operator="greaterThan">
      <formula>0</formula>
    </cfRule>
    <cfRule type="cellIs" priority="195" dxfId="41" operator="lessThan">
      <formula>0</formula>
    </cfRule>
    <cfRule type="cellIs" priority="196" dxfId="41" operator="lessThan">
      <formula>0</formula>
    </cfRule>
  </conditionalFormatting>
  <conditionalFormatting sqref="G71:G74 G80 G76:G78 H82:H93 G84:G87 G89:G91 G93 G31:G34 G36:G39">
    <cfRule type="cellIs" priority="189" dxfId="41" operator="lessThan">
      <formula>0</formula>
    </cfRule>
    <cfRule type="cellIs" priority="190" dxfId="41" operator="greaterThan">
      <formula>0</formula>
    </cfRule>
    <cfRule type="cellIs" priority="191" dxfId="0" operator="lessThan">
      <formula>0</formula>
    </cfRule>
    <cfRule type="cellIs" priority="192" dxfId="41" operator="lessThan">
      <formula>0</formula>
    </cfRule>
  </conditionalFormatting>
  <conditionalFormatting sqref="G68">
    <cfRule type="containsText" priority="174" dxfId="41" operator="containsText" text="0">
      <formula>NOT(ISERROR(SEARCH("0",G68)))</formula>
    </cfRule>
    <cfRule type="containsText" priority="175" dxfId="45" operator="containsText" text="ЛОЖЬ">
      <formula>NOT(ISERROR(SEARCH("ЛОЖЬ",G68)))</formula>
    </cfRule>
  </conditionalFormatting>
  <conditionalFormatting sqref="G68">
    <cfRule type="containsText" priority="173" dxfId="45" operator="containsText" text="ЛОЖЬ">
      <formula>NOT(ISERROR(SEARCH("ЛОЖЬ",G68)))</formula>
    </cfRule>
  </conditionalFormatting>
  <conditionalFormatting sqref="G68">
    <cfRule type="duplicateValues" priority="169" dxfId="41">
      <formula>AND(COUNTIF($G$68:$G$68,G68)&gt;1,NOT(ISBLANK(G68)))</formula>
    </cfRule>
    <cfRule type="cellIs" priority="170" dxfId="41" operator="greaterThan">
      <formula>0</formula>
    </cfRule>
    <cfRule type="cellIs" priority="171" dxfId="41" operator="lessThan">
      <formula>0</formula>
    </cfRule>
    <cfRule type="containsText" priority="172" dxfId="45" operator="containsText" text="ЛОЖЬ">
      <formula>NOT(ISERROR(SEARCH("ЛОЖЬ",G68)))</formula>
    </cfRule>
  </conditionalFormatting>
  <conditionalFormatting sqref="G68">
    <cfRule type="cellIs" priority="156" dxfId="5" operator="equal">
      <formula>0</formula>
    </cfRule>
    <cfRule type="cellIs" priority="157" dxfId="46" operator="notEqual">
      <formula>0</formula>
    </cfRule>
    <cfRule type="cellIs" priority="158" dxfId="3" operator="greaterThan">
      <formula>0</formula>
    </cfRule>
    <cfRule type="containsText" priority="159" dxfId="41" operator="containsText" text="0">
      <formula>NOT(ISERROR(SEARCH("0",G68)))</formula>
    </cfRule>
    <cfRule type="cellIs" priority="160" dxfId="41" operator="equal">
      <formula>0</formula>
    </cfRule>
    <cfRule type="cellIs" priority="161" dxfId="41" operator="lessThan">
      <formula>0</formula>
    </cfRule>
    <cfRule type="cellIs" priority="162" dxfId="41" operator="equal">
      <formula>0</formula>
    </cfRule>
    <cfRule type="cellIs" priority="163" dxfId="41" operator="equal">
      <formula>0</formula>
    </cfRule>
    <cfRule type="cellIs" priority="164" dxfId="41" operator="greaterThan">
      <formula>0</formula>
    </cfRule>
    <cfRule type="duplicateValues" priority="165" dxfId="41">
      <formula>AND(COUNTIF($G$68:$G$68,G68)&gt;1,NOT(ISBLANK(G68)))</formula>
    </cfRule>
    <cfRule type="cellIs" priority="166" dxfId="41" operator="greaterThan">
      <formula>0</formula>
    </cfRule>
    <cfRule type="cellIs" priority="167" dxfId="41" operator="lessThan">
      <formula>0</formula>
    </cfRule>
    <cfRule type="containsText" priority="168" dxfId="45" operator="containsText" text="ЛОЖЬ">
      <formula>NOT(ISERROR(SEARCH("ЛОЖЬ",G68)))</formula>
    </cfRule>
  </conditionalFormatting>
  <conditionalFormatting sqref="G74 G80 H82:H93">
    <cfRule type="cellIs" priority="124" dxfId="41" operator="greaterThan">
      <formula>0</formula>
    </cfRule>
    <cfRule type="cellIs" priority="125" dxfId="41" operator="lessThan">
      <formula>0</formula>
    </cfRule>
    <cfRule type="cellIs" priority="126" dxfId="41" operator="greaterThan">
      <formula>0</formula>
    </cfRule>
    <cfRule type="cellIs" priority="127" dxfId="0" operator="lessThan">
      <formula>0</formula>
    </cfRule>
    <cfRule type="cellIs" priority="128" dxfId="41" operator="lessThan">
      <formula>0</formula>
    </cfRule>
  </conditionalFormatting>
  <dataValidations count="1">
    <dataValidation type="whole" operator="greaterThanOrEqual" allowBlank="1" showInputMessage="1" showErrorMessage="1" errorTitle="ввод неверных данных" error="допускается вводить только цифровые значения" sqref="D187:D189 D163:D169 D175:D178 D194:D197 D182:D183 D156:D161 D20:D25 D27:D29 D45:D48 D35:D39 D41:D43 D12:D16 D65:D67 D70:D80 E81 D95:D102 D54:D56 D58:D63 D108:D109 D104:D106 D144 D129 D114 D147 D111:D112 D117 D122 D124:D125 D127 D151:D154 D119">
      <formula1>0</formula1>
    </dataValidation>
  </dataValidations>
  <printOptions horizontalCentered="1"/>
  <pageMargins left="0.3937007874015748" right="0.1968503937007874" top="0.3937007874015748" bottom="0.3937007874015748" header="0" footer="0"/>
  <pageSetup fitToHeight="3" horizontalDpi="300" verticalDpi="300" orientation="portrait" paperSize="9" scale="90" r:id="rId3"/>
  <rowBreaks count="3" manualBreakCount="3">
    <brk id="58" max="7" man="1"/>
    <brk id="119" max="7" man="1"/>
    <brk id="180" max="7" man="1"/>
  </rowBreaks>
  <colBreaks count="1" manualBreakCount="1">
    <brk id="4" max="20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Профсоюз Работников Народного Образования и Науки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Vera</cp:lastModifiedBy>
  <cp:lastPrinted>2018-10-04T13:51:50Z</cp:lastPrinted>
  <dcterms:created xsi:type="dcterms:W3CDTF">2012-11-15T07:58:45Z</dcterms:created>
  <dcterms:modified xsi:type="dcterms:W3CDTF">2018-12-19T04:04:51Z</dcterms:modified>
  <cp:category/>
  <cp:version/>
  <cp:contentType/>
  <cp:contentStatus/>
</cp:coreProperties>
</file>